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1955" activeTab="3"/>
  </bookViews>
  <sheets>
    <sheet name="Stavební rozpočet - součet" sheetId="1" r:id="rId1"/>
    <sheet name="Krycí list rozpočtu" sheetId="2" r:id="rId2"/>
    <sheet name="VORN" sheetId="3" state="hidden" r:id="rId3"/>
    <sheet name="Stavební rozpočet" sheetId="4" r:id="rId4"/>
  </sheets>
  <definedNames>
    <definedName name="vorn_sum">VORN!$I$36</definedName>
  </definedNames>
  <calcPr calcId="145621"/>
</workbook>
</file>

<file path=xl/calcChain.xml><?xml version="1.0" encoding="utf-8"?>
<calcChain xmlns="http://schemas.openxmlformats.org/spreadsheetml/2006/main">
  <c r="BJ114" i="4" l="1"/>
  <c r="BF114" i="4"/>
  <c r="BD114" i="4"/>
  <c r="AP114" i="4"/>
  <c r="BI114" i="4" s="1"/>
  <c r="AO114" i="4"/>
  <c r="AW114" i="4" s="1"/>
  <c r="AK114" i="4"/>
  <c r="AJ114" i="4"/>
  <c r="AH114" i="4"/>
  <c r="AG114" i="4"/>
  <c r="AF114" i="4"/>
  <c r="AE114" i="4"/>
  <c r="AD114" i="4"/>
  <c r="AC114" i="4"/>
  <c r="AB114" i="4"/>
  <c r="Z114" i="4"/>
  <c r="I114" i="4"/>
  <c r="AL114" i="4" s="1"/>
  <c r="BJ113" i="4"/>
  <c r="BI113" i="4"/>
  <c r="BF113" i="4"/>
  <c r="BD113" i="4"/>
  <c r="BC113" i="4"/>
  <c r="AW113" i="4"/>
  <c r="AV113" i="4" s="1"/>
  <c r="AP113" i="4"/>
  <c r="AX113" i="4" s="1"/>
  <c r="AO113" i="4"/>
  <c r="BH113" i="4" s="1"/>
  <c r="AL113" i="4"/>
  <c r="AK113" i="4"/>
  <c r="AJ113" i="4"/>
  <c r="AS105" i="4" s="1"/>
  <c r="AH113" i="4"/>
  <c r="AG113" i="4"/>
  <c r="AF113" i="4"/>
  <c r="AE113" i="4"/>
  <c r="AD113" i="4"/>
  <c r="AC113" i="4"/>
  <c r="AB113" i="4"/>
  <c r="Z113" i="4"/>
  <c r="I113" i="4"/>
  <c r="BJ111" i="4"/>
  <c r="Z111" i="4" s="1"/>
  <c r="BF111" i="4"/>
  <c r="BD111" i="4"/>
  <c r="AX111" i="4"/>
  <c r="AP111" i="4"/>
  <c r="BI111" i="4" s="1"/>
  <c r="AO111" i="4"/>
  <c r="AW111" i="4" s="1"/>
  <c r="AK111" i="4"/>
  <c r="AJ111" i="4"/>
  <c r="AH111" i="4"/>
  <c r="AG111" i="4"/>
  <c r="AF111" i="4"/>
  <c r="AE111" i="4"/>
  <c r="AD111" i="4"/>
  <c r="AC111" i="4"/>
  <c r="AB111" i="4"/>
  <c r="I111" i="4"/>
  <c r="BJ106" i="4"/>
  <c r="BF106" i="4"/>
  <c r="BD106" i="4"/>
  <c r="AW106" i="4"/>
  <c r="AP106" i="4"/>
  <c r="AX106" i="4" s="1"/>
  <c r="AO106" i="4"/>
  <c r="BH106" i="4" s="1"/>
  <c r="AL106" i="4"/>
  <c r="AK106" i="4"/>
  <c r="AJ106" i="4"/>
  <c r="AH106" i="4"/>
  <c r="AG106" i="4"/>
  <c r="AF106" i="4"/>
  <c r="AE106" i="4"/>
  <c r="AD106" i="4"/>
  <c r="AC106" i="4"/>
  <c r="AB106" i="4"/>
  <c r="Z106" i="4"/>
  <c r="I106" i="4"/>
  <c r="AT105" i="4"/>
  <c r="BJ104" i="4"/>
  <c r="BF104" i="4"/>
  <c r="BD104" i="4"/>
  <c r="AX104" i="4"/>
  <c r="AP104" i="4"/>
  <c r="BI104" i="4" s="1"/>
  <c r="AC104" i="4" s="1"/>
  <c r="AO104" i="4"/>
  <c r="AW104" i="4" s="1"/>
  <c r="BC104" i="4" s="1"/>
  <c r="AK104" i="4"/>
  <c r="AT98" i="4" s="1"/>
  <c r="AJ104" i="4"/>
  <c r="AH104" i="4"/>
  <c r="AG104" i="4"/>
  <c r="AF104" i="4"/>
  <c r="AE104" i="4"/>
  <c r="AD104" i="4"/>
  <c r="Z104" i="4"/>
  <c r="I104" i="4"/>
  <c r="AL104" i="4" s="1"/>
  <c r="BJ102" i="4"/>
  <c r="BF102" i="4"/>
  <c r="BD102" i="4"/>
  <c r="AP102" i="4"/>
  <c r="AX102" i="4" s="1"/>
  <c r="AO102" i="4"/>
  <c r="BH102" i="4" s="1"/>
  <c r="AB102" i="4" s="1"/>
  <c r="AK102" i="4"/>
  <c r="AJ102" i="4"/>
  <c r="AS98" i="4" s="1"/>
  <c r="AH102" i="4"/>
  <c r="C20" i="2" s="1"/>
  <c r="AG102" i="4"/>
  <c r="AF102" i="4"/>
  <c r="C18" i="2" s="1"/>
  <c r="AE102" i="4"/>
  <c r="AD102" i="4"/>
  <c r="C16" i="2" s="1"/>
  <c r="Z102" i="4"/>
  <c r="I102" i="4"/>
  <c r="AL102" i="4" s="1"/>
  <c r="BJ99" i="4"/>
  <c r="BF99" i="4"/>
  <c r="BD99" i="4"/>
  <c r="AX99" i="4"/>
  <c r="AP99" i="4"/>
  <c r="BI99" i="4" s="1"/>
  <c r="AC99" i="4" s="1"/>
  <c r="AO99" i="4"/>
  <c r="AW99" i="4" s="1"/>
  <c r="AK99" i="4"/>
  <c r="AJ99" i="4"/>
  <c r="AH99" i="4"/>
  <c r="AG99" i="4"/>
  <c r="AF99" i="4"/>
  <c r="AE99" i="4"/>
  <c r="AD99" i="4"/>
  <c r="Z99" i="4"/>
  <c r="I99" i="4"/>
  <c r="AL99" i="4" s="1"/>
  <c r="BJ97" i="4"/>
  <c r="BF97" i="4"/>
  <c r="BD97" i="4"/>
  <c r="AW97" i="4"/>
  <c r="AP97" i="4"/>
  <c r="AX97" i="4" s="1"/>
  <c r="AO97" i="4"/>
  <c r="BH97" i="4" s="1"/>
  <c r="AL97" i="4"/>
  <c r="AK97" i="4"/>
  <c r="AJ97" i="4"/>
  <c r="AH97" i="4"/>
  <c r="AG97" i="4"/>
  <c r="AF97" i="4"/>
  <c r="AE97" i="4"/>
  <c r="AD97" i="4"/>
  <c r="AC97" i="4"/>
  <c r="AB97" i="4"/>
  <c r="Z97" i="4"/>
  <c r="I97" i="4"/>
  <c r="BJ96" i="4"/>
  <c r="BF96" i="4"/>
  <c r="BD96" i="4"/>
  <c r="AX96" i="4"/>
  <c r="AV96" i="4"/>
  <c r="AP96" i="4"/>
  <c r="BI96" i="4" s="1"/>
  <c r="AC96" i="4" s="1"/>
  <c r="AO96" i="4"/>
  <c r="AW96" i="4" s="1"/>
  <c r="BC96" i="4" s="1"/>
  <c r="AK96" i="4"/>
  <c r="AT92" i="4" s="1"/>
  <c r="AJ96" i="4"/>
  <c r="AH96" i="4"/>
  <c r="AG96" i="4"/>
  <c r="AF96" i="4"/>
  <c r="AE96" i="4"/>
  <c r="AD96" i="4"/>
  <c r="Z96" i="4"/>
  <c r="I96" i="4"/>
  <c r="AL96" i="4" s="1"/>
  <c r="BJ94" i="4"/>
  <c r="BI94" i="4"/>
  <c r="AC94" i="4" s="1"/>
  <c r="BF94" i="4"/>
  <c r="BD94" i="4"/>
  <c r="AW94" i="4"/>
  <c r="AV94" i="4" s="1"/>
  <c r="AP94" i="4"/>
  <c r="AX94" i="4" s="1"/>
  <c r="BC94" i="4" s="1"/>
  <c r="AO94" i="4"/>
  <c r="BH94" i="4" s="1"/>
  <c r="AB94" i="4" s="1"/>
  <c r="AL94" i="4"/>
  <c r="AK94" i="4"/>
  <c r="AJ94" i="4"/>
  <c r="AS92" i="4" s="1"/>
  <c r="AH94" i="4"/>
  <c r="AG94" i="4"/>
  <c r="AF94" i="4"/>
  <c r="AE94" i="4"/>
  <c r="AD94" i="4"/>
  <c r="Z94" i="4"/>
  <c r="I94" i="4"/>
  <c r="BJ93" i="4"/>
  <c r="BH93" i="4"/>
  <c r="AB93" i="4" s="1"/>
  <c r="BF93" i="4"/>
  <c r="BD93" i="4"/>
  <c r="AX93" i="4"/>
  <c r="AP93" i="4"/>
  <c r="BI93" i="4" s="1"/>
  <c r="AC93" i="4" s="1"/>
  <c r="AO93" i="4"/>
  <c r="AW93" i="4" s="1"/>
  <c r="AK93" i="4"/>
  <c r="AJ93" i="4"/>
  <c r="AH93" i="4"/>
  <c r="AG93" i="4"/>
  <c r="AF93" i="4"/>
  <c r="AE93" i="4"/>
  <c r="AD93" i="4"/>
  <c r="Z93" i="4"/>
  <c r="I93" i="4"/>
  <c r="AL93" i="4" s="1"/>
  <c r="BJ87" i="4"/>
  <c r="BF87" i="4"/>
  <c r="BD87" i="4"/>
  <c r="AW87" i="4"/>
  <c r="AP87" i="4"/>
  <c r="AX87" i="4" s="1"/>
  <c r="AO87" i="4"/>
  <c r="BH87" i="4" s="1"/>
  <c r="AB87" i="4" s="1"/>
  <c r="AL87" i="4"/>
  <c r="AK87" i="4"/>
  <c r="AJ87" i="4"/>
  <c r="AH87" i="4"/>
  <c r="AG87" i="4"/>
  <c r="AF87" i="4"/>
  <c r="AE87" i="4"/>
  <c r="AD87" i="4"/>
  <c r="Z87" i="4"/>
  <c r="I87" i="4"/>
  <c r="BJ81" i="4"/>
  <c r="BF81" i="4"/>
  <c r="BD81" i="4"/>
  <c r="AX81" i="4"/>
  <c r="AP81" i="4"/>
  <c r="BI81" i="4" s="1"/>
  <c r="AC81" i="4" s="1"/>
  <c r="AO81" i="4"/>
  <c r="AW81" i="4" s="1"/>
  <c r="BC81" i="4" s="1"/>
  <c r="AK81" i="4"/>
  <c r="AT72" i="4" s="1"/>
  <c r="AJ81" i="4"/>
  <c r="AH81" i="4"/>
  <c r="AG81" i="4"/>
  <c r="AF81" i="4"/>
  <c r="AE81" i="4"/>
  <c r="AD81" i="4"/>
  <c r="Z81" i="4"/>
  <c r="I81" i="4"/>
  <c r="AL81" i="4" s="1"/>
  <c r="BJ80" i="4"/>
  <c r="BF80" i="4"/>
  <c r="BD80" i="4"/>
  <c r="AW80" i="4"/>
  <c r="AP80" i="4"/>
  <c r="AX80" i="4" s="1"/>
  <c r="BC80" i="4" s="1"/>
  <c r="AO80" i="4"/>
  <c r="BH80" i="4" s="1"/>
  <c r="AB80" i="4" s="1"/>
  <c r="AL80" i="4"/>
  <c r="AK80" i="4"/>
  <c r="AJ80" i="4"/>
  <c r="AS72" i="4" s="1"/>
  <c r="AH80" i="4"/>
  <c r="AG80" i="4"/>
  <c r="AF80" i="4"/>
  <c r="AE80" i="4"/>
  <c r="AD80" i="4"/>
  <c r="Z80" i="4"/>
  <c r="I80" i="4"/>
  <c r="BJ73" i="4"/>
  <c r="BF73" i="4"/>
  <c r="BD73" i="4"/>
  <c r="AX73" i="4"/>
  <c r="AP73" i="4"/>
  <c r="BI73" i="4" s="1"/>
  <c r="AC73" i="4" s="1"/>
  <c r="AO73" i="4"/>
  <c r="AW73" i="4" s="1"/>
  <c r="AK73" i="4"/>
  <c r="AJ73" i="4"/>
  <c r="AH73" i="4"/>
  <c r="AG73" i="4"/>
  <c r="AF73" i="4"/>
  <c r="AE73" i="4"/>
  <c r="AD73" i="4"/>
  <c r="Z73" i="4"/>
  <c r="I73" i="4"/>
  <c r="AL73" i="4" s="1"/>
  <c r="AU72" i="4" s="1"/>
  <c r="I72" i="4"/>
  <c r="BJ70" i="4"/>
  <c r="BF70" i="4"/>
  <c r="BD70" i="4"/>
  <c r="AW70" i="4"/>
  <c r="AP70" i="4"/>
  <c r="AX70" i="4" s="1"/>
  <c r="AO70" i="4"/>
  <c r="BH70" i="4" s="1"/>
  <c r="AB70" i="4" s="1"/>
  <c r="AL70" i="4"/>
  <c r="AK70" i="4"/>
  <c r="AJ70" i="4"/>
  <c r="AH70" i="4"/>
  <c r="AG70" i="4"/>
  <c r="AF70" i="4"/>
  <c r="AE70" i="4"/>
  <c r="AD70" i="4"/>
  <c r="Z70" i="4"/>
  <c r="I70" i="4"/>
  <c r="AU69" i="4"/>
  <c r="AT69" i="4"/>
  <c r="AS69" i="4"/>
  <c r="I69" i="4"/>
  <c r="BJ68" i="4"/>
  <c r="BF68" i="4"/>
  <c r="BD68" i="4"/>
  <c r="AX68" i="4"/>
  <c r="AP68" i="4"/>
  <c r="BI68" i="4" s="1"/>
  <c r="AC68" i="4" s="1"/>
  <c r="AO68" i="4"/>
  <c r="AW68" i="4" s="1"/>
  <c r="BC68" i="4" s="1"/>
  <c r="AK68" i="4"/>
  <c r="AT64" i="4" s="1"/>
  <c r="AJ68" i="4"/>
  <c r="AH68" i="4"/>
  <c r="AG68" i="4"/>
  <c r="AF68" i="4"/>
  <c r="AE68" i="4"/>
  <c r="AD68" i="4"/>
  <c r="Z68" i="4"/>
  <c r="I68" i="4"/>
  <c r="AL68" i="4" s="1"/>
  <c r="BJ66" i="4"/>
  <c r="BI66" i="4"/>
  <c r="AC66" i="4" s="1"/>
  <c r="BF66" i="4"/>
  <c r="BD66" i="4"/>
  <c r="BC66" i="4"/>
  <c r="AW66" i="4"/>
  <c r="AV66" i="4" s="1"/>
  <c r="AP66" i="4"/>
  <c r="AX66" i="4" s="1"/>
  <c r="AO66" i="4"/>
  <c r="BH66" i="4" s="1"/>
  <c r="AB66" i="4" s="1"/>
  <c r="AL66" i="4"/>
  <c r="AK66" i="4"/>
  <c r="AJ66" i="4"/>
  <c r="AS64" i="4" s="1"/>
  <c r="AH66" i="4"/>
  <c r="AG66" i="4"/>
  <c r="AF66" i="4"/>
  <c r="AE66" i="4"/>
  <c r="AD66" i="4"/>
  <c r="Z66" i="4"/>
  <c r="I66" i="4"/>
  <c r="BJ65" i="4"/>
  <c r="BH65" i="4"/>
  <c r="AB65" i="4" s="1"/>
  <c r="BF65" i="4"/>
  <c r="BD65" i="4"/>
  <c r="AX65" i="4"/>
  <c r="AP65" i="4"/>
  <c r="BI65" i="4" s="1"/>
  <c r="AC65" i="4" s="1"/>
  <c r="AO65" i="4"/>
  <c r="AW65" i="4" s="1"/>
  <c r="AK65" i="4"/>
  <c r="AJ65" i="4"/>
  <c r="AH65" i="4"/>
  <c r="AG65" i="4"/>
  <c r="AF65" i="4"/>
  <c r="AE65" i="4"/>
  <c r="AD65" i="4"/>
  <c r="Z65" i="4"/>
  <c r="I65" i="4"/>
  <c r="AL65" i="4" s="1"/>
  <c r="AU64" i="4" s="1"/>
  <c r="BJ63" i="4"/>
  <c r="BF63" i="4"/>
  <c r="BD63" i="4"/>
  <c r="AW63" i="4"/>
  <c r="AP63" i="4"/>
  <c r="AX63" i="4" s="1"/>
  <c r="AO63" i="4"/>
  <c r="BH63" i="4" s="1"/>
  <c r="AB63" i="4" s="1"/>
  <c r="AL63" i="4"/>
  <c r="AU62" i="4" s="1"/>
  <c r="AK63" i="4"/>
  <c r="AJ63" i="4"/>
  <c r="AH63" i="4"/>
  <c r="AG63" i="4"/>
  <c r="AF63" i="4"/>
  <c r="AE63" i="4"/>
  <c r="AD63" i="4"/>
  <c r="Z63" i="4"/>
  <c r="I63" i="4"/>
  <c r="AT62" i="4"/>
  <c r="AS62" i="4"/>
  <c r="I62" i="4"/>
  <c r="BJ58" i="4"/>
  <c r="BF58" i="4"/>
  <c r="BD58" i="4"/>
  <c r="AX58" i="4"/>
  <c r="AV58" i="4"/>
  <c r="AP58" i="4"/>
  <c r="BI58" i="4" s="1"/>
  <c r="AC58" i="4" s="1"/>
  <c r="AO58" i="4"/>
  <c r="AW58" i="4" s="1"/>
  <c r="BC58" i="4" s="1"/>
  <c r="AK58" i="4"/>
  <c r="AT52" i="4" s="1"/>
  <c r="AJ58" i="4"/>
  <c r="AH58" i="4"/>
  <c r="AG58" i="4"/>
  <c r="AF58" i="4"/>
  <c r="AE58" i="4"/>
  <c r="AD58" i="4"/>
  <c r="Z58" i="4"/>
  <c r="I58" i="4"/>
  <c r="AL58" i="4" s="1"/>
  <c r="AU52" i="4" s="1"/>
  <c r="BJ53" i="4"/>
  <c r="BF53" i="4"/>
  <c r="BD53" i="4"/>
  <c r="BC53" i="4"/>
  <c r="AW53" i="4"/>
  <c r="AP53" i="4"/>
  <c r="AX53" i="4" s="1"/>
  <c r="AO53" i="4"/>
  <c r="BH53" i="4" s="1"/>
  <c r="AB53" i="4" s="1"/>
  <c r="AL53" i="4"/>
  <c r="AK53" i="4"/>
  <c r="AJ53" i="4"/>
  <c r="AH53" i="4"/>
  <c r="AG53" i="4"/>
  <c r="AF53" i="4"/>
  <c r="AE53" i="4"/>
  <c r="AD53" i="4"/>
  <c r="Z53" i="4"/>
  <c r="I53" i="4"/>
  <c r="AS52" i="4"/>
  <c r="BJ50" i="4"/>
  <c r="BH50" i="4"/>
  <c r="AB50" i="4" s="1"/>
  <c r="BF50" i="4"/>
  <c r="BD50" i="4"/>
  <c r="AX50" i="4"/>
  <c r="AP50" i="4"/>
  <c r="BI50" i="4" s="1"/>
  <c r="AC50" i="4" s="1"/>
  <c r="AO50" i="4"/>
  <c r="AW50" i="4" s="1"/>
  <c r="AK50" i="4"/>
  <c r="AT48" i="4" s="1"/>
  <c r="AJ50" i="4"/>
  <c r="AH50" i="4"/>
  <c r="AG50" i="4"/>
  <c r="AF50" i="4"/>
  <c r="AE50" i="4"/>
  <c r="AD50" i="4"/>
  <c r="Z50" i="4"/>
  <c r="I50" i="4"/>
  <c r="BJ49" i="4"/>
  <c r="BF49" i="4"/>
  <c r="BD49" i="4"/>
  <c r="AW49" i="4"/>
  <c r="AP49" i="4"/>
  <c r="AX49" i="4" s="1"/>
  <c r="AO49" i="4"/>
  <c r="BH49" i="4" s="1"/>
  <c r="AB49" i="4" s="1"/>
  <c r="AL49" i="4"/>
  <c r="AK49" i="4"/>
  <c r="AJ49" i="4"/>
  <c r="AH49" i="4"/>
  <c r="AG49" i="4"/>
  <c r="AF49" i="4"/>
  <c r="AE49" i="4"/>
  <c r="AD49" i="4"/>
  <c r="Z49" i="4"/>
  <c r="I49" i="4"/>
  <c r="AS48" i="4"/>
  <c r="BJ46" i="4"/>
  <c r="BH46" i="4"/>
  <c r="AB46" i="4" s="1"/>
  <c r="BF46" i="4"/>
  <c r="BD46" i="4"/>
  <c r="AX46" i="4"/>
  <c r="AV46" i="4" s="1"/>
  <c r="AP46" i="4"/>
  <c r="BI46" i="4" s="1"/>
  <c r="AC46" i="4" s="1"/>
  <c r="AO46" i="4"/>
  <c r="AW46" i="4" s="1"/>
  <c r="AK46" i="4"/>
  <c r="AT40" i="4" s="1"/>
  <c r="AJ46" i="4"/>
  <c r="AH46" i="4"/>
  <c r="AG46" i="4"/>
  <c r="AF46" i="4"/>
  <c r="AE46" i="4"/>
  <c r="AD46" i="4"/>
  <c r="Z46" i="4"/>
  <c r="I46" i="4"/>
  <c r="AL46" i="4" s="1"/>
  <c r="BJ41" i="4"/>
  <c r="BF41" i="4"/>
  <c r="BD41" i="4"/>
  <c r="BC41" i="4"/>
  <c r="AW41" i="4"/>
  <c r="AP41" i="4"/>
  <c r="AX41" i="4" s="1"/>
  <c r="AO41" i="4"/>
  <c r="BH41" i="4" s="1"/>
  <c r="AB41" i="4" s="1"/>
  <c r="AL41" i="4"/>
  <c r="AU40" i="4" s="1"/>
  <c r="AK41" i="4"/>
  <c r="AJ41" i="4"/>
  <c r="AH41" i="4"/>
  <c r="AG41" i="4"/>
  <c r="AF41" i="4"/>
  <c r="AE41" i="4"/>
  <c r="AD41" i="4"/>
  <c r="Z41" i="4"/>
  <c r="I41" i="4"/>
  <c r="I40" i="4" s="1"/>
  <c r="G13" i="1" s="1"/>
  <c r="I13" i="1" s="1"/>
  <c r="AS40" i="4"/>
  <c r="BJ39" i="4"/>
  <c r="BF39" i="4"/>
  <c r="BD39" i="4"/>
  <c r="AX39" i="4"/>
  <c r="AP39" i="4"/>
  <c r="BI39" i="4" s="1"/>
  <c r="AC39" i="4" s="1"/>
  <c r="AO39" i="4"/>
  <c r="BH39" i="4" s="1"/>
  <c r="AB39" i="4" s="1"/>
  <c r="AK39" i="4"/>
  <c r="AJ39" i="4"/>
  <c r="AH39" i="4"/>
  <c r="AG39" i="4"/>
  <c r="AF39" i="4"/>
  <c r="AE39" i="4"/>
  <c r="AD39" i="4"/>
  <c r="Z39" i="4"/>
  <c r="I39" i="4"/>
  <c r="AL39" i="4" s="1"/>
  <c r="BJ33" i="4"/>
  <c r="BI33" i="4"/>
  <c r="BF33" i="4"/>
  <c r="BD33" i="4"/>
  <c r="AW33" i="4"/>
  <c r="AV33" i="4" s="1"/>
  <c r="AP33" i="4"/>
  <c r="AX33" i="4" s="1"/>
  <c r="AO33" i="4"/>
  <c r="BH33" i="4" s="1"/>
  <c r="AL33" i="4"/>
  <c r="AK33" i="4"/>
  <c r="AJ33" i="4"/>
  <c r="AH33" i="4"/>
  <c r="AG33" i="4"/>
  <c r="AF33" i="4"/>
  <c r="AE33" i="4"/>
  <c r="AD33" i="4"/>
  <c r="AC33" i="4"/>
  <c r="AB33" i="4"/>
  <c r="Z33" i="4"/>
  <c r="I33" i="4"/>
  <c r="BJ30" i="4"/>
  <c r="BH30" i="4"/>
  <c r="AB30" i="4" s="1"/>
  <c r="BF30" i="4"/>
  <c r="BD30" i="4"/>
  <c r="AP30" i="4"/>
  <c r="BI30" i="4" s="1"/>
  <c r="AC30" i="4" s="1"/>
  <c r="AO30" i="4"/>
  <c r="AW30" i="4" s="1"/>
  <c r="AK30" i="4"/>
  <c r="AJ30" i="4"/>
  <c r="AH30" i="4"/>
  <c r="AG30" i="4"/>
  <c r="AF30" i="4"/>
  <c r="AE30" i="4"/>
  <c r="AD30" i="4"/>
  <c r="Z30" i="4"/>
  <c r="I30" i="4"/>
  <c r="AL30" i="4" s="1"/>
  <c r="BJ27" i="4"/>
  <c r="BH27" i="4"/>
  <c r="AB27" i="4" s="1"/>
  <c r="BF27" i="4"/>
  <c r="BD27" i="4"/>
  <c r="AP27" i="4"/>
  <c r="BI27" i="4" s="1"/>
  <c r="AC27" i="4" s="1"/>
  <c r="AO27" i="4"/>
  <c r="AW27" i="4" s="1"/>
  <c r="AK27" i="4"/>
  <c r="AJ27" i="4"/>
  <c r="AS19" i="4" s="1"/>
  <c r="AH27" i="4"/>
  <c r="AG27" i="4"/>
  <c r="AF27" i="4"/>
  <c r="AE27" i="4"/>
  <c r="AD27" i="4"/>
  <c r="Z27" i="4"/>
  <c r="I27" i="4"/>
  <c r="AL27" i="4" s="1"/>
  <c r="BJ21" i="4"/>
  <c r="BH21" i="4"/>
  <c r="AB21" i="4" s="1"/>
  <c r="BF21" i="4"/>
  <c r="BD21" i="4"/>
  <c r="AX21" i="4"/>
  <c r="AW21" i="4"/>
  <c r="BC21" i="4" s="1"/>
  <c r="AP21" i="4"/>
  <c r="BI21" i="4" s="1"/>
  <c r="AC21" i="4" s="1"/>
  <c r="AO21" i="4"/>
  <c r="AL21" i="4"/>
  <c r="AK21" i="4"/>
  <c r="AJ21" i="4"/>
  <c r="AH21" i="4"/>
  <c r="AG21" i="4"/>
  <c r="AF21" i="4"/>
  <c r="AE21" i="4"/>
  <c r="AD21" i="4"/>
  <c r="Z21" i="4"/>
  <c r="I21" i="4"/>
  <c r="BJ20" i="4"/>
  <c r="BF20" i="4"/>
  <c r="BD20" i="4"/>
  <c r="BC20" i="4"/>
  <c r="AW20" i="4"/>
  <c r="AV20" i="4"/>
  <c r="AP20" i="4"/>
  <c r="AX20" i="4" s="1"/>
  <c r="AO20" i="4"/>
  <c r="BH20" i="4" s="1"/>
  <c r="AL20" i="4"/>
  <c r="AK20" i="4"/>
  <c r="AJ20" i="4"/>
  <c r="AH20" i="4"/>
  <c r="AG20" i="4"/>
  <c r="AF20" i="4"/>
  <c r="AE20" i="4"/>
  <c r="AD20" i="4"/>
  <c r="AB20" i="4"/>
  <c r="Z20" i="4"/>
  <c r="I20" i="4"/>
  <c r="AT19" i="4"/>
  <c r="BJ18" i="4"/>
  <c r="BH18" i="4"/>
  <c r="AB18" i="4" s="1"/>
  <c r="BF18" i="4"/>
  <c r="BD18" i="4"/>
  <c r="AX18" i="4"/>
  <c r="AV18" i="4" s="1"/>
  <c r="AP18" i="4"/>
  <c r="BI18" i="4" s="1"/>
  <c r="AC18" i="4" s="1"/>
  <c r="AO18" i="4"/>
  <c r="AW18" i="4" s="1"/>
  <c r="BC18" i="4" s="1"/>
  <c r="AK18" i="4"/>
  <c r="AJ18" i="4"/>
  <c r="AH18" i="4"/>
  <c r="AG18" i="4"/>
  <c r="AF18" i="4"/>
  <c r="AE18" i="4"/>
  <c r="AD18" i="4"/>
  <c r="Z18" i="4"/>
  <c r="I18" i="4"/>
  <c r="AL18" i="4" s="1"/>
  <c r="BJ17" i="4"/>
  <c r="BH17" i="4"/>
  <c r="AB17" i="4" s="1"/>
  <c r="BF17" i="4"/>
  <c r="BD17" i="4"/>
  <c r="AX17" i="4"/>
  <c r="AW17" i="4"/>
  <c r="BC17" i="4" s="1"/>
  <c r="AP17" i="4"/>
  <c r="BI17" i="4" s="1"/>
  <c r="AC17" i="4" s="1"/>
  <c r="AO17" i="4"/>
  <c r="AL17" i="4"/>
  <c r="AK17" i="4"/>
  <c r="AJ17" i="4"/>
  <c r="AH17" i="4"/>
  <c r="AG17" i="4"/>
  <c r="AF17" i="4"/>
  <c r="AE17" i="4"/>
  <c r="AD17" i="4"/>
  <c r="Z17" i="4"/>
  <c r="I17" i="4"/>
  <c r="BJ16" i="4"/>
  <c r="BF16" i="4"/>
  <c r="BD16" i="4"/>
  <c r="AX16" i="4"/>
  <c r="AP16" i="4"/>
  <c r="BI16" i="4" s="1"/>
  <c r="AC16" i="4" s="1"/>
  <c r="AO16" i="4"/>
  <c r="BH16" i="4" s="1"/>
  <c r="AB16" i="4" s="1"/>
  <c r="AK16" i="4"/>
  <c r="AJ16" i="4"/>
  <c r="AH16" i="4"/>
  <c r="AG16" i="4"/>
  <c r="AF16" i="4"/>
  <c r="AE16" i="4"/>
  <c r="AD16" i="4"/>
  <c r="Z16" i="4"/>
  <c r="I16" i="4"/>
  <c r="AL16" i="4" s="1"/>
  <c r="BJ15" i="4"/>
  <c r="BF15" i="4"/>
  <c r="BD15" i="4"/>
  <c r="AW15" i="4"/>
  <c r="AP15" i="4"/>
  <c r="AX15" i="4" s="1"/>
  <c r="BC15" i="4" s="1"/>
  <c r="AO15" i="4"/>
  <c r="BH15" i="4" s="1"/>
  <c r="AB15" i="4" s="1"/>
  <c r="AL15" i="4"/>
  <c r="AK15" i="4"/>
  <c r="AJ15" i="4"/>
  <c r="AS12" i="4" s="1"/>
  <c r="AH15" i="4"/>
  <c r="AG15" i="4"/>
  <c r="AF15" i="4"/>
  <c r="AE15" i="4"/>
  <c r="AD15" i="4"/>
  <c r="Z15" i="4"/>
  <c r="I15" i="4"/>
  <c r="BJ14" i="4"/>
  <c r="BF14" i="4"/>
  <c r="BD14" i="4"/>
  <c r="AX14" i="4"/>
  <c r="AP14" i="4"/>
  <c r="BI14" i="4" s="1"/>
  <c r="AC14" i="4" s="1"/>
  <c r="AO14" i="4"/>
  <c r="AW14" i="4" s="1"/>
  <c r="AK14" i="4"/>
  <c r="AT12" i="4" s="1"/>
  <c r="AJ14" i="4"/>
  <c r="AH14" i="4"/>
  <c r="AG14" i="4"/>
  <c r="AF14" i="4"/>
  <c r="AE14" i="4"/>
  <c r="AD14" i="4"/>
  <c r="Z14" i="4"/>
  <c r="I14" i="4"/>
  <c r="AL14" i="4" s="1"/>
  <c r="AU12" i="4" s="1"/>
  <c r="BJ13" i="4"/>
  <c r="BF13" i="4"/>
  <c r="BD13" i="4"/>
  <c r="AW13" i="4"/>
  <c r="AP13" i="4"/>
  <c r="BI13" i="4" s="1"/>
  <c r="AC13" i="4" s="1"/>
  <c r="AO13" i="4"/>
  <c r="BH13" i="4" s="1"/>
  <c r="AB13" i="4" s="1"/>
  <c r="AL13" i="4"/>
  <c r="AK13" i="4"/>
  <c r="AJ13" i="4"/>
  <c r="AH13" i="4"/>
  <c r="AG13" i="4"/>
  <c r="AF13" i="4"/>
  <c r="AE13" i="4"/>
  <c r="AD13" i="4"/>
  <c r="Z13" i="4"/>
  <c r="I13" i="4"/>
  <c r="AU1" i="4"/>
  <c r="AT1" i="4"/>
  <c r="AS1" i="4"/>
  <c r="I35" i="3"/>
  <c r="I36" i="3" s="1"/>
  <c r="I24" i="2" s="1"/>
  <c r="I26" i="3"/>
  <c r="I25" i="3"/>
  <c r="I24" i="3"/>
  <c r="I23" i="3"/>
  <c r="I22" i="3"/>
  <c r="I21" i="3"/>
  <c r="I27" i="3" s="1"/>
  <c r="I17" i="3"/>
  <c r="I16" i="3"/>
  <c r="I15" i="3"/>
  <c r="I18" i="3" s="1"/>
  <c r="I10" i="3"/>
  <c r="F10" i="3"/>
  <c r="C10" i="3"/>
  <c r="F8" i="3"/>
  <c r="C8" i="3"/>
  <c r="F6" i="3"/>
  <c r="C6" i="3"/>
  <c r="F4" i="3"/>
  <c r="C4" i="3"/>
  <c r="F2" i="3"/>
  <c r="C2" i="3"/>
  <c r="C28" i="2"/>
  <c r="F28" i="2" s="1"/>
  <c r="C27" i="2"/>
  <c r="C21" i="2"/>
  <c r="I19" i="2"/>
  <c r="C19" i="2"/>
  <c r="I18" i="2"/>
  <c r="I17" i="2"/>
  <c r="C17" i="2"/>
  <c r="I16" i="2"/>
  <c r="F16" i="2"/>
  <c r="I15" i="2"/>
  <c r="F15" i="2"/>
  <c r="I14" i="2"/>
  <c r="I22" i="2" s="1"/>
  <c r="F14" i="2"/>
  <c r="F22" i="2" s="1"/>
  <c r="F10" i="2"/>
  <c r="C10" i="2"/>
  <c r="F8" i="2"/>
  <c r="F6" i="2"/>
  <c r="C6" i="2"/>
  <c r="F4" i="2"/>
  <c r="C4" i="2"/>
  <c r="F2" i="2"/>
  <c r="C2" i="2"/>
  <c r="G19" i="1"/>
  <c r="I19" i="1" s="1"/>
  <c r="G18" i="1"/>
  <c r="I18" i="1" s="1"/>
  <c r="G16" i="1"/>
  <c r="I16" i="1" s="1"/>
  <c r="C8" i="1"/>
  <c r="G6" i="1"/>
  <c r="C6" i="1"/>
  <c r="G4" i="1"/>
  <c r="C4" i="1"/>
  <c r="G2" i="1"/>
  <c r="C2" i="1"/>
  <c r="AU98" i="4" l="1"/>
  <c r="AW102" i="4"/>
  <c r="BI102" i="4"/>
  <c r="AC102" i="4" s="1"/>
  <c r="AV14" i="4"/>
  <c r="BC14" i="4"/>
  <c r="AU19" i="4"/>
  <c r="C29" i="2"/>
  <c r="F29" i="2" s="1"/>
  <c r="F29" i="3"/>
  <c r="AV15" i="4"/>
  <c r="AV27" i="4"/>
  <c r="BH14" i="4"/>
  <c r="AB14" i="4" s="1"/>
  <c r="C14" i="2" s="1"/>
  <c r="BI15" i="4"/>
  <c r="AC15" i="4" s="1"/>
  <c r="AV70" i="4"/>
  <c r="BC70" i="4"/>
  <c r="I12" i="4"/>
  <c r="AX13" i="4"/>
  <c r="AV13" i="4" s="1"/>
  <c r="AW16" i="4"/>
  <c r="BI20" i="4"/>
  <c r="AC20" i="4" s="1"/>
  <c r="AV21" i="4"/>
  <c r="BC33" i="4"/>
  <c r="AW39" i="4"/>
  <c r="BC65" i="4"/>
  <c r="AV65" i="4"/>
  <c r="AV80" i="4"/>
  <c r="BI80" i="4"/>
  <c r="AC80" i="4" s="1"/>
  <c r="AV87" i="4"/>
  <c r="BC87" i="4"/>
  <c r="I92" i="4"/>
  <c r="G20" i="1" s="1"/>
  <c r="I20" i="1" s="1"/>
  <c r="BC99" i="4"/>
  <c r="AV99" i="4"/>
  <c r="BC111" i="4"/>
  <c r="AV111" i="4"/>
  <c r="BC13" i="4"/>
  <c r="AX27" i="4"/>
  <c r="BC27" i="4" s="1"/>
  <c r="AX30" i="4"/>
  <c r="BC30" i="4" s="1"/>
  <c r="AV49" i="4"/>
  <c r="BC49" i="4"/>
  <c r="I48" i="4"/>
  <c r="G14" i="1" s="1"/>
  <c r="I14" i="1" s="1"/>
  <c r="AL50" i="4"/>
  <c r="AU48" i="4" s="1"/>
  <c r="AV68" i="4"/>
  <c r="BC73" i="4"/>
  <c r="AV73" i="4"/>
  <c r="AU92" i="4"/>
  <c r="BH99" i="4"/>
  <c r="AB99" i="4" s="1"/>
  <c r="AV104" i="4"/>
  <c r="BH111" i="4"/>
  <c r="AV17" i="4"/>
  <c r="I19" i="4"/>
  <c r="G12" i="1" s="1"/>
  <c r="I12" i="1" s="1"/>
  <c r="AV41" i="4"/>
  <c r="BI41" i="4"/>
  <c r="AC41" i="4" s="1"/>
  <c r="BC46" i="4"/>
  <c r="BC50" i="4"/>
  <c r="AV50" i="4"/>
  <c r="AV53" i="4"/>
  <c r="BI53" i="4"/>
  <c r="AC53" i="4" s="1"/>
  <c r="AV63" i="4"/>
  <c r="BC63" i="4"/>
  <c r="I64" i="4"/>
  <c r="G17" i="1" s="1"/>
  <c r="I17" i="1" s="1"/>
  <c r="BH73" i="4"/>
  <c r="AB73" i="4" s="1"/>
  <c r="AV81" i="4"/>
  <c r="BC93" i="4"/>
  <c r="AV93" i="4"/>
  <c r="AV97" i="4"/>
  <c r="BC97" i="4"/>
  <c r="I98" i="4"/>
  <c r="G21" i="1" s="1"/>
  <c r="I21" i="1" s="1"/>
  <c r="AV106" i="4"/>
  <c r="BC106" i="4"/>
  <c r="I105" i="4"/>
  <c r="G22" i="1" s="1"/>
  <c r="I22" i="1" s="1"/>
  <c r="AL111" i="4"/>
  <c r="AU105" i="4" s="1"/>
  <c r="AV114" i="4"/>
  <c r="BI49" i="4"/>
  <c r="AC49" i="4" s="1"/>
  <c r="BH58" i="4"/>
  <c r="AB58" i="4" s="1"/>
  <c r="BI63" i="4"/>
  <c r="AC63" i="4" s="1"/>
  <c r="BH68" i="4"/>
  <c r="AB68" i="4" s="1"/>
  <c r="BI70" i="4"/>
  <c r="AC70" i="4" s="1"/>
  <c r="BH81" i="4"/>
  <c r="AB81" i="4" s="1"/>
  <c r="BI87" i="4"/>
  <c r="AC87" i="4" s="1"/>
  <c r="BH96" i="4"/>
  <c r="AB96" i="4" s="1"/>
  <c r="BI97" i="4"/>
  <c r="BH104" i="4"/>
  <c r="AB104" i="4" s="1"/>
  <c r="BI106" i="4"/>
  <c r="AX114" i="4"/>
  <c r="BC114" i="4" s="1"/>
  <c r="BH114" i="4"/>
  <c r="I52" i="4"/>
  <c r="G15" i="1" s="1"/>
  <c r="I15" i="1" s="1"/>
  <c r="C15" i="2" l="1"/>
  <c r="C22" i="2" s="1"/>
  <c r="AV102" i="4"/>
  <c r="BC102" i="4"/>
  <c r="BC16" i="4"/>
  <c r="AV16" i="4"/>
  <c r="AV30" i="4"/>
  <c r="I116" i="4"/>
  <c r="G11" i="1"/>
  <c r="I11" i="1" s="1"/>
  <c r="G23" i="1" s="1"/>
  <c r="I28" i="2"/>
  <c r="I29" i="2" s="1"/>
  <c r="BC39" i="4"/>
  <c r="AV39" i="4"/>
</calcChain>
</file>

<file path=xl/sharedStrings.xml><?xml version="1.0" encoding="utf-8"?>
<sst xmlns="http://schemas.openxmlformats.org/spreadsheetml/2006/main" count="924" uniqueCount="311">
  <si>
    <t>Slepý stavební rozpočet - rekapitulace</t>
  </si>
  <si>
    <t>Název stavby:</t>
  </si>
  <si>
    <t>Doba výstavby:</t>
  </si>
  <si>
    <t xml:space="preserve"> </t>
  </si>
  <si>
    <t>Objednatel:</t>
  </si>
  <si>
    <t>Druh stavby:</t>
  </si>
  <si>
    <t>Začátek výstavby:</t>
  </si>
  <si>
    <t>Projektant:</t>
  </si>
  <si>
    <t>Lokalita:</t>
  </si>
  <si>
    <t>Konec výstavby:</t>
  </si>
  <si>
    <t>Zhotovitel:</t>
  </si>
  <si>
    <t>Zpracoval:</t>
  </si>
  <si>
    <t>Zpracováno dne:</t>
  </si>
  <si>
    <t>Objekt</t>
  </si>
  <si>
    <t>Kód</t>
  </si>
  <si>
    <t>Zkrácený popis</t>
  </si>
  <si>
    <t>Náklady (Kč) - celkem</t>
  </si>
  <si>
    <t/>
  </si>
  <si>
    <t>00</t>
  </si>
  <si>
    <t>Vedlejší a ostatní náklady</t>
  </si>
  <si>
    <t>T</t>
  </si>
  <si>
    <t>11</t>
  </si>
  <si>
    <t>Přípravné a přidružené práce</t>
  </si>
  <si>
    <t>12</t>
  </si>
  <si>
    <t>Odkopávky a prokopávky</t>
  </si>
  <si>
    <t>16</t>
  </si>
  <si>
    <t>Přemístění výkopku</t>
  </si>
  <si>
    <t>18</t>
  </si>
  <si>
    <t>Povrchové úpravy terénu</t>
  </si>
  <si>
    <t>19</t>
  </si>
  <si>
    <t>Hloubení pro podzemní stěny, ražení a hloubení důlní</t>
  </si>
  <si>
    <t>56</t>
  </si>
  <si>
    <t>Podkladní vrstvy komunikací, letišť a ploch</t>
  </si>
  <si>
    <t>58</t>
  </si>
  <si>
    <t>Kryty pozemních komunikací, letišť a ploch z betonu a ostatních hmot</t>
  </si>
  <si>
    <t>59</t>
  </si>
  <si>
    <t>Kryty pozemních komunikací, letišť a ploch dlážděných (předlažby)</t>
  </si>
  <si>
    <t>91</t>
  </si>
  <si>
    <t>Doplňující konstrukce a práce na pozemních komunikacích a zpevněných plochách</t>
  </si>
  <si>
    <t>97</t>
  </si>
  <si>
    <t>Prorážení otvorů a ostatní bourací práce</t>
  </si>
  <si>
    <t>S</t>
  </si>
  <si>
    <t>Přesuny sutí</t>
  </si>
  <si>
    <t>Celkem:</t>
  </si>
  <si>
    <t>Krycí list slepého rozpočtu</t>
  </si>
  <si>
    <t>IČO/DIČ:</t>
  </si>
  <si>
    <t>Položek:</t>
  </si>
  <si>
    <t>JKSO: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</si>
  <si>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</si>
  <si>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</si>
  <si>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</si>
  <si>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</si>
  <si>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</si>
  <si>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</si>
  <si>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</si>
  <si>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</si>
  <si>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</si>
  <si>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</si>
  <si>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</si>
  <si>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</si>
  <si>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</si>
  <si>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</si>
  <si>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</si>
  <si>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</si>
  <si>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</si>
  <si>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</si>
  <si>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</si>
  <si>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</si>
  <si>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</si>
  <si>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</si>
  <si>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</si>
  <si>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</si>
  <si>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</si>
  <si>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</si>
  <si>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</si>
  <si>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</si>
  <si>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</si>
  <si>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</si>
  <si>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</si>
  <si>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</si>
  <si>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</si>
  <si>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</si>
  <si>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</si>
  <si>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</si>
  <si>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</si>
  <si>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</si>
  <si>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</si>
  <si>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</si>
  <si>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</si>
  <si>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</si>
  <si>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Poznámka: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</si>
  <si>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</si>
  <si>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</si>
  <si>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</si>
  <si>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</si>
  <si>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</si>
  <si>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</si>
  <si>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</si>
  <si>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</si>
  <si>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</si>
  <si>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</si>
  <si>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</si>
  <si>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</si>
  <si>
    <t>Slepý stavební rozpočet</t>
  </si>
  <si>
    <t>25014 Bruntál, ul. Ruská - E. Beneše, oprava chodníku</t>
  </si>
  <si>
    <t> </t>
  </si>
  <si>
    <t>Č</t>
  </si>
  <si>
    <t>MJ</t>
  </si>
  <si>
    <t>Množství</t>
  </si>
  <si>
    <t>Cena/MJ</t>
  </si>
  <si>
    <t>Náklady (Kč)</t>
  </si>
  <si>
    <t>ISWORK</t>
  </si>
  <si>
    <t>GROUPCODE</t>
  </si>
  <si>
    <t>VATTAX</t>
  </si>
  <si>
    <t>Rozměry</t>
  </si>
  <si>
    <t>(Kč)</t>
  </si>
  <si>
    <t>Celkem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</si>
  <si>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</si>
  <si>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</si>
  <si>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</si>
  <si>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</si>
  <si>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</si>
  <si>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</si>
  <si>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</si>
  <si>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</si>
  <si>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</si>
  <si>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</si>
  <si>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</si>
  <si>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</si>
  <si>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1</t>
  </si>
  <si>
    <t>123119VD</t>
  </si>
  <si>
    <t>Fotodokumentace</t>
  </si>
  <si>
    <t>kpl</t>
  </si>
  <si>
    <t>00_</t>
  </si>
  <si>
    <t>0_</t>
  </si>
  <si>
    <t>_</t>
  </si>
  <si>
    <t>2</t>
  </si>
  <si>
    <t>123140VD</t>
  </si>
  <si>
    <t>Čistění komunikací po dobu výstavby</t>
  </si>
  <si>
    <t>3</t>
  </si>
  <si>
    <t>123171VD</t>
  </si>
  <si>
    <t>Přechodné dopravní značení</t>
  </si>
  <si>
    <t>4</t>
  </si>
  <si>
    <t>123172VD</t>
  </si>
  <si>
    <t>Hutnící zkoušky</t>
  </si>
  <si>
    <t>kus</t>
  </si>
  <si>
    <t>5</t>
  </si>
  <si>
    <t>123188VD</t>
  </si>
  <si>
    <t>Vytýčení sítí</t>
  </si>
  <si>
    <t>6</t>
  </si>
  <si>
    <t>123118VD</t>
  </si>
  <si>
    <t>Geodetické práce</t>
  </si>
  <si>
    <t>7</t>
  </si>
  <si>
    <t>113201111R00</t>
  </si>
  <si>
    <t>Vytrhání obrubníků chodníkových a parkových</t>
  </si>
  <si>
    <t>m</t>
  </si>
  <si>
    <t>11_</t>
  </si>
  <si>
    <t>1_</t>
  </si>
  <si>
    <t>8</t>
  </si>
  <si>
    <t>113106231R00</t>
  </si>
  <si>
    <t>Rozebrání dlažeb ze zámkové dlažby v kamenivu</t>
  </si>
  <si>
    <t>m2</t>
  </si>
  <si>
    <t>u prodejny střeliva pro opětovné zadláždění</t>
  </si>
  <si>
    <t>0,75*1,3</t>
  </si>
  <si>
    <t>(1,0+2,4)/2*1,8</t>
  </si>
  <si>
    <t>3,1*0,6</t>
  </si>
  <si>
    <t>2,5*0,9</t>
  </si>
  <si>
    <t>9</t>
  </si>
  <si>
    <t>113202111R00</t>
  </si>
  <si>
    <t>Vytrhání obrub obrubníků silničních</t>
  </si>
  <si>
    <t>žulové u přechodu</t>
  </si>
  <si>
    <t>10</t>
  </si>
  <si>
    <t>113203111R00</t>
  </si>
  <si>
    <t>Vytrhání obrub z dlažebních kostek</t>
  </si>
  <si>
    <t>u žulových obrub u přechodu</t>
  </si>
  <si>
    <t>113108405R00</t>
  </si>
  <si>
    <t>Odstranění asfaltové vrstvy pl.nad 50 m2, tl. 5 cm</t>
  </si>
  <si>
    <t>19,50*2,0</t>
  </si>
  <si>
    <t>2,2*5,5</t>
  </si>
  <si>
    <t>3,0*18,0</t>
  </si>
  <si>
    <t>3,0*27,0</t>
  </si>
  <si>
    <t>RTS komentář:</t>
  </si>
  <si>
    <t>Položka není určena pro odstranění podkladu nebo krytu frézováním. Pro volbu položky z hlediska množství se uvažuje každá souvisle odstraňovaná plocha krytu nebo podkladu stejného druhu samostatně.Odstraňuje-li se několik vrstev vozovky najednou, jednotlivé vrstvy se oceňují každá samostatně</t>
  </si>
  <si>
    <t>113109315R00</t>
  </si>
  <si>
    <t>Odstranění podkladu pl.50 m2, bet.prostý tl.15 cm</t>
  </si>
  <si>
    <t>13</t>
  </si>
  <si>
    <t>122201102R00</t>
  </si>
  <si>
    <t>Odkopávky nezapažené v hor. 3 do 1000 m3</t>
  </si>
  <si>
    <t>m3</t>
  </si>
  <si>
    <t>12_</t>
  </si>
  <si>
    <t>19,50*2,5*0,35</t>
  </si>
  <si>
    <t>2,0*6,0*0,35</t>
  </si>
  <si>
    <t>18,0*3,5*0,35</t>
  </si>
  <si>
    <t>27,0*3,5*0,35</t>
  </si>
  <si>
    <t>14</t>
  </si>
  <si>
    <t>122201109R00</t>
  </si>
  <si>
    <t>Příplatek za lepivost - odkopávky v hor. 3</t>
  </si>
  <si>
    <t>76,388*0,5</t>
  </si>
  <si>
    <t>15</t>
  </si>
  <si>
    <t>162701105R00</t>
  </si>
  <si>
    <t>Vodorovné přemístění výkopku z hor.1-4 do 10000 m</t>
  </si>
  <si>
    <t>16_</t>
  </si>
  <si>
    <t>162701109R00</t>
  </si>
  <si>
    <t>Příplatek k vod. přemístění hor.1-4 za další 1 km</t>
  </si>
  <si>
    <t>76,388*6</t>
  </si>
  <si>
    <t>17</t>
  </si>
  <si>
    <t>181101102R00</t>
  </si>
  <si>
    <t>Úprava pláně v zářezech v hor. 1-4, se zhutněním</t>
  </si>
  <si>
    <t>18_</t>
  </si>
  <si>
    <t>19,50*2,5</t>
  </si>
  <si>
    <t>2,0*6,0</t>
  </si>
  <si>
    <t>18,0*3,5</t>
  </si>
  <si>
    <t>27,0*3,5</t>
  </si>
  <si>
    <t>180400020RA0</t>
  </si>
  <si>
    <t>Založení trávníku parkového, rovina, dodání osiva</t>
  </si>
  <si>
    <t>(19,5*2)-5,5*0,25</t>
  </si>
  <si>
    <t>18,0*0,25*2</t>
  </si>
  <si>
    <t>27,0*0,25*2</t>
  </si>
  <si>
    <t>199000002R00</t>
  </si>
  <si>
    <t>Poplatek za skládku horniny 1- 4, č. dle katal. odpadů 17 05 04</t>
  </si>
  <si>
    <t>19_</t>
  </si>
  <si>
    <t>20</t>
  </si>
  <si>
    <t>564871111R00</t>
  </si>
  <si>
    <t>Podklad ze štěrkodrti po zhutnění tloušťky 25 cm</t>
  </si>
  <si>
    <t>56_</t>
  </si>
  <si>
    <t>5_</t>
  </si>
  <si>
    <t>21</t>
  </si>
  <si>
    <t>569903321R00</t>
  </si>
  <si>
    <t>Zřízení zemních krajnic bez zhutnění</t>
  </si>
  <si>
    <t>60,125*0,15</t>
  </si>
  <si>
    <t>22</t>
  </si>
  <si>
    <t>10364200VD</t>
  </si>
  <si>
    <t>Ornice pro pozemkové úpravy</t>
  </si>
  <si>
    <t>23</t>
  </si>
  <si>
    <t>581121111R00</t>
  </si>
  <si>
    <t>Kryt cementobeton. komunikací skup.3 a 4 tl. 15 cm</t>
  </si>
  <si>
    <t>58_</t>
  </si>
  <si>
    <t>Položka není určena pro cementobetonové kryty:  a) vyztužené, které se oceňují podle individuální specifikace,  b) komunikací pro pěší, které se oceňují položkami souboru 581 11-4 Kryt z prostého betonu komunikací pro pěší,  c) letištních ploch, které se oceňují položkami souborů 581 1.-3 a 581 1.-6 Kryt cementobetonový letištních ploch skupiny L. V položce nejsou zakalkulovány náklady na popřípadě projektem předepsané  živičné postřiky, nátěry nebo mezivrstvy, vložky z lepenky, provedení dilatačních spár řezených, provedení dilatačních spár vkládaných, postřiky povrchu ochrannou emulzí, úpravy povrchu krytu broušením, kotevní a kluzné trny spár, které se oceňují R-položkou</t>
  </si>
  <si>
    <t>24</t>
  </si>
  <si>
    <t>596215021R00</t>
  </si>
  <si>
    <t>Kladení zámkové dlažby tl. 6 cm do drtě tl. 4 cm</t>
  </si>
  <si>
    <t>59_</t>
  </si>
  <si>
    <t>19,5*2,0</t>
  </si>
  <si>
    <t>18,0*3,0</t>
  </si>
  <si>
    <t>27,0*3,0</t>
  </si>
  <si>
    <t>pro opětovné zadláždění</t>
  </si>
  <si>
    <t>8,145</t>
  </si>
  <si>
    <t>25</t>
  </si>
  <si>
    <t>596291111R00</t>
  </si>
  <si>
    <t>Řezání zámkové dlažby tl. 60 mm</t>
  </si>
  <si>
    <t>26</t>
  </si>
  <si>
    <t>59245110</t>
  </si>
  <si>
    <t>Dlažba skladebná HOLLAND I 200 x 100 x 60 mm přírodní</t>
  </si>
  <si>
    <t>187,0*1,02</t>
  </si>
  <si>
    <t>odpočet slepecké</t>
  </si>
  <si>
    <t>-4,4*0,4*1,02-3,0*0,8*1,02</t>
  </si>
  <si>
    <t>-5,0*0,4*1,02</t>
  </si>
  <si>
    <t>-3,8*0,8*1,02</t>
  </si>
  <si>
    <t>27</t>
  </si>
  <si>
    <t>592451151</t>
  </si>
  <si>
    <t>Dlažba skladebná HOLLAND I SPL pro nevidomé 200 x 100 x 60 mm červená</t>
  </si>
  <si>
    <t>4,4*0,4*1,02+3,0*0,8*1,02</t>
  </si>
  <si>
    <t>5,0*0,4*1,02</t>
  </si>
  <si>
    <t>3,8*0,8*1,02</t>
  </si>
  <si>
    <t xml:space="preserve"> Tato užitečná specializovaná dlažba s výrazně tvarovaným povrchem HOLLAND SLP je určena jako doplněk ke všem typům zpevněných ploch tam, kde je nutno vést nevidomé a slabozraké spoluobčany určitým směrem, nebo je upozornit na změnu směru, přechod pro chodce, zastávku MHD, na vchod do budovy apod. Speciálně upravený povrch dlažby s výstupky je jednoznačně a nezaměnitelně zjistitelný hmatově – holí - i nášlapem, proto může pomoci při budování vodících pruhů a signálních pásů v rámci běžného dláždění pro chodce.  dodáváno včetně půlek (případně krajovek) Impregnace Protect System I</t>
  </si>
  <si>
    <t>28</t>
  </si>
  <si>
    <t>917862111RT5</t>
  </si>
  <si>
    <t>Osazení stojatého obrubníku betonového, s boční opěrou, do lože z betonu C 12/15</t>
  </si>
  <si>
    <t>91_</t>
  </si>
  <si>
    <t>9_</t>
  </si>
  <si>
    <t>29</t>
  </si>
  <si>
    <t>917161111R00</t>
  </si>
  <si>
    <t>Osazení lež. obrub.kamen. s opěrou, lože z C 12/15</t>
  </si>
  <si>
    <t>Osazení silničního nebo chodníkového obrubníku kamenného</t>
  </si>
  <si>
    <t>30</t>
  </si>
  <si>
    <t>916261111R00</t>
  </si>
  <si>
    <t>Osazení obruby z kostek drobných, s boční opěrou</t>
  </si>
  <si>
    <t>31</t>
  </si>
  <si>
    <t>998223011R00</t>
  </si>
  <si>
    <t>Přesun hmot, pozemní komunikace, kryt dlážděný</t>
  </si>
  <si>
    <t>t</t>
  </si>
  <si>
    <t>32</t>
  </si>
  <si>
    <t>979054441R00</t>
  </si>
  <si>
    <t>Očištění vybour. dlaždic s výplní kamen. těženým</t>
  </si>
  <si>
    <t>97_</t>
  </si>
  <si>
    <t>33</t>
  </si>
  <si>
    <t>979071122R00</t>
  </si>
  <si>
    <t>Očištění vybour.kostek drobných s výplní MC/živicí</t>
  </si>
  <si>
    <t>8,0*0,1</t>
  </si>
  <si>
    <t>34</t>
  </si>
  <si>
    <t>979024441R00</t>
  </si>
  <si>
    <t>Očištění vybour. obrubníků všech loží a výplní</t>
  </si>
  <si>
    <t>35</t>
  </si>
  <si>
    <t>979082213R00</t>
  </si>
  <si>
    <t>Vodorovná doprava suti po suchu do 1 km</t>
  </si>
  <si>
    <t>S_</t>
  </si>
  <si>
    <t>betony</t>
  </si>
  <si>
    <t>28,96</t>
  </si>
  <si>
    <t>asfalt</t>
  </si>
  <si>
    <t>20,471</t>
  </si>
  <si>
    <t>36</t>
  </si>
  <si>
    <t>979082219R00</t>
  </si>
  <si>
    <t>Příplatek za dopravu suti po suchu za další 1 km</t>
  </si>
  <si>
    <t>49,431*2</t>
  </si>
  <si>
    <t>37</t>
  </si>
  <si>
    <t>979999982R00</t>
  </si>
  <si>
    <t>Poplatek za recyklaci betonu kusovost nad 1600 cm2 (skup.170101)</t>
  </si>
  <si>
    <t>38</t>
  </si>
  <si>
    <t>979999995R00</t>
  </si>
  <si>
    <t>Poplatek za recyklaci asfaltu, kusovost do 1600 cm2, (skup.170302)</t>
  </si>
  <si>
    <t>skupina 17 03 02 z Katalogu odpadů  Thermoservis - transport s.r.o. Roviny 4 643 00 Brno – Chrlice, ČR IČ: 269 12 643 DIČ: CZ 269 12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</si>
</sst>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charset val="1"/>
    </font>
    <font>
      <sz val="18"/>
      <color rgb="FF000000"/>
      <name val="Arial"/>
      <charset val="238"/>
    </font>
    <font>
      <sz val="10"/>
      <color rgb="FF000000"/>
      <name val="Arial"/>
      <charset val="238"/>
    </font>
    <font>
      <b/>
      <sz val="10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  <font>
      <i/>
      <sz val="8"/>
      <color rgb="FF000000"/>
      <name val="Arial"/>
      <charset val="238"/>
    </font>
    <font>
      <i/>
      <sz val="10"/>
      <color rgb="FF000000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3" fillId="0" borderId="11" xfId="0" applyNumberFormat="1" applyFont="1" applyFill="1" applyBorder="1" applyAlignment="1" applyProtection="1">
      <alignment horizontal="left" vertical="center"/>
    </xf>
    <xf numFmtId="0" fontId="3" fillId="0" borderId="12" xfId="0" applyNumberFormat="1" applyFont="1" applyFill="1" applyBorder="1" applyAlignment="1" applyProtection="1">
      <alignment horizontal="left" vertical="center"/>
    </xf>
    <xf numFmtId="0" fontId="3" fillId="0" borderId="13" xfId="0" applyNumberFormat="1" applyFont="1" applyFill="1" applyBorder="1" applyAlignment="1" applyProtection="1">
      <alignment horizontal="left" vertical="center"/>
    </xf>
    <xf numFmtId="0" fontId="3" fillId="0" borderId="14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left" vertical="center"/>
    </xf>
    <xf numFmtId="0" fontId="2" fillId="0" borderId="16" xfId="0" applyNumberFormat="1" applyFont="1" applyFill="1" applyBorder="1" applyAlignment="1" applyProtection="1">
      <alignment horizontal="left" vertical="center"/>
    </xf>
    <xf numFmtId="4" fontId="2" fillId="0" borderId="16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5" fillId="2" borderId="20" xfId="0" applyNumberFormat="1" applyFont="1" applyFill="1" applyBorder="1" applyAlignment="1" applyProtection="1">
      <alignment horizontal="center" vertical="center"/>
    </xf>
    <xf numFmtId="0" fontId="5" fillId="2" borderId="23" xfId="0" applyNumberFormat="1" applyFont="1" applyFill="1" applyBorder="1" applyAlignment="1" applyProtection="1">
      <alignment horizontal="center" vertical="center"/>
    </xf>
    <xf numFmtId="0" fontId="7" fillId="0" borderId="24" xfId="0" applyNumberFormat="1" applyFont="1" applyFill="1" applyBorder="1" applyAlignment="1" applyProtection="1">
      <alignment horizontal="left" vertical="center"/>
    </xf>
    <xf numFmtId="0" fontId="8" fillId="0" borderId="25" xfId="0" applyNumberFormat="1" applyFont="1" applyFill="1" applyBorder="1" applyAlignment="1" applyProtection="1">
      <alignment horizontal="left" vertical="center"/>
    </xf>
    <xf numFmtId="4" fontId="8" fillId="0" borderId="25" xfId="0" applyNumberFormat="1" applyFont="1" applyFill="1" applyBorder="1" applyAlignment="1" applyProtection="1">
      <alignment horizontal="right" vertical="center"/>
    </xf>
    <xf numFmtId="0" fontId="8" fillId="0" borderId="25" xfId="0" applyNumberFormat="1" applyFont="1" applyFill="1" applyBorder="1" applyAlignment="1" applyProtection="1">
      <alignment horizontal="right" vertical="center"/>
    </xf>
    <xf numFmtId="0" fontId="7" fillId="0" borderId="28" xfId="0" applyNumberFormat="1" applyFont="1" applyFill="1" applyBorder="1" applyAlignment="1" applyProtection="1">
      <alignment horizontal="left" vertical="center"/>
    </xf>
    <xf numFmtId="4" fontId="8" fillId="0" borderId="32" xfId="0" applyNumberFormat="1" applyFont="1" applyFill="1" applyBorder="1" applyAlignment="1" applyProtection="1">
      <alignment horizontal="right" vertical="center"/>
    </xf>
    <xf numFmtId="0" fontId="8" fillId="0" borderId="32" xfId="0" applyNumberFormat="1" applyFont="1" applyFill="1" applyBorder="1" applyAlignment="1" applyProtection="1">
      <alignment horizontal="right" vertical="center"/>
    </xf>
    <xf numFmtId="4" fontId="8" fillId="0" borderId="23" xfId="0" applyNumberFormat="1" applyFont="1" applyFill="1" applyBorder="1" applyAlignment="1" applyProtection="1">
      <alignment horizontal="right" vertical="center"/>
    </xf>
    <xf numFmtId="4" fontId="8" fillId="0" borderId="35" xfId="0" applyNumberFormat="1" applyFont="1" applyFill="1" applyBorder="1" applyAlignment="1" applyProtection="1">
      <alignment horizontal="right" vertical="center"/>
    </xf>
    <xf numFmtId="4" fontId="7" fillId="2" borderId="22" xfId="0" applyNumberFormat="1" applyFont="1" applyFill="1" applyBorder="1" applyAlignment="1" applyProtection="1">
      <alignment horizontal="right" vertical="center"/>
    </xf>
    <xf numFmtId="4" fontId="7" fillId="2" borderId="27" xfId="0" applyNumberFormat="1" applyFont="1" applyFill="1" applyBorder="1" applyAlignment="1" applyProtection="1">
      <alignment horizontal="right" vertical="center"/>
    </xf>
    <xf numFmtId="0" fontId="9" fillId="0" borderId="16" xfId="0" applyNumberFormat="1" applyFont="1" applyFill="1" applyBorder="1" applyAlignment="1" applyProtection="1">
      <alignment horizontal="left" vertical="center"/>
    </xf>
    <xf numFmtId="0" fontId="3" fillId="0" borderId="52" xfId="0" applyNumberFormat="1" applyFont="1" applyFill="1" applyBorder="1" applyAlignment="1" applyProtection="1">
      <alignment horizontal="right" vertical="center"/>
    </xf>
    <xf numFmtId="4" fontId="2" fillId="0" borderId="25" xfId="0" applyNumberFormat="1" applyFont="1" applyFill="1" applyBorder="1" applyAlignment="1" applyProtection="1">
      <alignment horizontal="right" vertical="center"/>
    </xf>
    <xf numFmtId="0" fontId="2" fillId="0" borderId="25" xfId="0" applyNumberFormat="1" applyFont="1" applyFill="1" applyBorder="1" applyAlignment="1" applyProtection="1">
      <alignment horizontal="left" vertical="center"/>
    </xf>
    <xf numFmtId="4" fontId="2" fillId="0" borderId="56" xfId="0" applyNumberFormat="1" applyFont="1" applyFill="1" applyBorder="1" applyAlignment="1" applyProtection="1">
      <alignment horizontal="right" vertical="center"/>
    </xf>
    <xf numFmtId="0" fontId="2" fillId="0" borderId="56" xfId="0" applyNumberFormat="1" applyFont="1" applyFill="1" applyBorder="1" applyAlignment="1" applyProtection="1">
      <alignment horizontal="left" vertical="center"/>
    </xf>
    <xf numFmtId="0" fontId="3" fillId="0" borderId="60" xfId="0" applyNumberFormat="1" applyFont="1" applyFill="1" applyBorder="1" applyAlignment="1" applyProtection="1">
      <alignment horizontal="left" vertical="center"/>
    </xf>
    <xf numFmtId="0" fontId="3" fillId="0" borderId="60" xfId="0" applyNumberFormat="1" applyFont="1" applyFill="1" applyBorder="1" applyAlignment="1" applyProtection="1">
      <alignment horizontal="right" vertical="center"/>
    </xf>
    <xf numFmtId="4" fontId="3" fillId="0" borderId="60" xfId="0" applyNumberFormat="1" applyFont="1" applyFill="1" applyBorder="1" applyAlignment="1" applyProtection="1">
      <alignment horizontal="right" vertical="center"/>
    </xf>
    <xf numFmtId="4" fontId="3" fillId="2" borderId="0" xfId="0" applyNumberFormat="1" applyFont="1" applyFill="1" applyBorder="1" applyAlignment="1" applyProtection="1">
      <alignment horizontal="right" vertical="center"/>
    </xf>
    <xf numFmtId="0" fontId="3" fillId="0" borderId="62" xfId="0" applyNumberFormat="1" applyFont="1" applyFill="1" applyBorder="1" applyAlignment="1" applyProtection="1">
      <alignment horizontal="left" vertical="center"/>
    </xf>
    <xf numFmtId="0" fontId="3" fillId="0" borderId="63" xfId="0" applyNumberFormat="1" applyFont="1" applyFill="1" applyBorder="1" applyAlignment="1" applyProtection="1">
      <alignment horizontal="left" vertical="center"/>
    </xf>
    <xf numFmtId="0" fontId="3" fillId="0" borderId="63" xfId="0" applyNumberFormat="1" applyFont="1" applyFill="1" applyBorder="1" applyAlignment="1" applyProtection="1">
      <alignment horizontal="center" vertical="center"/>
    </xf>
    <xf numFmtId="0" fontId="3" fillId="0" borderId="66" xfId="0" applyNumberFormat="1" applyFont="1" applyFill="1" applyBorder="1" applyAlignment="1" applyProtection="1">
      <alignment horizontal="center" vertical="center"/>
    </xf>
    <xf numFmtId="0" fontId="3" fillId="0" borderId="67" xfId="0" applyNumberFormat="1" applyFont="1" applyFill="1" applyBorder="1" applyAlignment="1" applyProtection="1">
      <alignment horizontal="center" vertical="center"/>
    </xf>
    <xf numFmtId="0" fontId="0" fillId="0" borderId="68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2" fillId="0" borderId="69" xfId="0" applyNumberFormat="1" applyFont="1" applyFill="1" applyBorder="1" applyAlignment="1" applyProtection="1">
      <alignment horizontal="left" vertical="center"/>
    </xf>
    <xf numFmtId="0" fontId="2" fillId="0" borderId="70" xfId="0" applyNumberFormat="1" applyFont="1" applyFill="1" applyBorder="1" applyAlignment="1" applyProtection="1">
      <alignment horizontal="left" vertical="center"/>
    </xf>
    <xf numFmtId="0" fontId="3" fillId="0" borderId="70" xfId="0" applyNumberFormat="1" applyFont="1" applyFill="1" applyBorder="1" applyAlignment="1" applyProtection="1">
      <alignment horizontal="center" vertical="center"/>
    </xf>
    <xf numFmtId="0" fontId="3" fillId="0" borderId="73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/>
    <xf numFmtId="0" fontId="2" fillId="2" borderId="15" xfId="0" applyNumberFormat="1" applyFont="1" applyFill="1" applyBorder="1" applyAlignment="1" applyProtection="1">
      <alignment horizontal="left" vertical="center"/>
    </xf>
    <xf numFmtId="0" fontId="2" fillId="2" borderId="16" xfId="0" applyNumberFormat="1" applyFont="1" applyFill="1" applyBorder="1" applyAlignment="1" applyProtection="1">
      <alignment horizontal="left" vertical="center"/>
    </xf>
    <xf numFmtId="4" fontId="3" fillId="2" borderId="16" xfId="0" applyNumberFormat="1" applyFont="1" applyFill="1" applyBorder="1" applyAlignment="1" applyProtection="1">
      <alignment horizontal="right" vertical="center"/>
    </xf>
    <xf numFmtId="0" fontId="2" fillId="2" borderId="5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Border="1" applyAlignment="1" applyProtection="1">
      <alignment horizontal="left" vertical="center"/>
    </xf>
    <xf numFmtId="0" fontId="0" fillId="0" borderId="5" xfId="0" applyNumberFormat="1" applyFont="1" applyFill="1" applyBorder="1" applyAlignment="1" applyProtection="1"/>
    <xf numFmtId="4" fontId="10" fillId="0" borderId="0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0" fillId="0" borderId="17" xfId="0" applyNumberFormat="1" applyFont="1" applyFill="1" applyBorder="1" applyAlignment="1" applyProtection="1"/>
    <xf numFmtId="0" fontId="0" fillId="0" borderId="9" xfId="0" applyNumberFormat="1" applyFont="1" applyFill="1" applyBorder="1" applyAlignment="1" applyProtection="1"/>
    <xf numFmtId="0" fontId="10" fillId="0" borderId="9" xfId="0" applyNumberFormat="1" applyFont="1" applyFill="1" applyBorder="1" applyAlignment="1" applyProtection="1">
      <alignment horizontal="right" vertical="center"/>
    </xf>
    <xf numFmtId="4" fontId="3" fillId="0" borderId="74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2" borderId="16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6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9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0" fontId="2" fillId="0" borderId="7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0" fontId="8" fillId="0" borderId="41" xfId="0" applyNumberFormat="1" applyFont="1" applyFill="1" applyBorder="1" applyAlignment="1" applyProtection="1">
      <alignment horizontal="left" vertical="center"/>
    </xf>
    <xf numFmtId="0" fontId="8" fillId="0" borderId="39" xfId="0" applyNumberFormat="1" applyFont="1" applyFill="1" applyBorder="1" applyAlignment="1" applyProtection="1">
      <alignment horizontal="left" vertical="center"/>
    </xf>
    <xf numFmtId="0" fontId="8" fillId="0" borderId="40" xfId="0" applyNumberFormat="1" applyFont="1" applyFill="1" applyBorder="1" applyAlignment="1" applyProtection="1">
      <alignment horizontal="left" vertical="center"/>
    </xf>
    <xf numFmtId="0" fontId="8" fillId="0" borderId="44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8" fillId="0" borderId="43" xfId="0" applyNumberFormat="1" applyFont="1" applyFill="1" applyBorder="1" applyAlignment="1" applyProtection="1">
      <alignment horizontal="left" vertical="center"/>
    </xf>
    <xf numFmtId="0" fontId="8" fillId="0" borderId="48" xfId="0" applyNumberFormat="1" applyFont="1" applyFill="1" applyBorder="1" applyAlignment="1" applyProtection="1">
      <alignment horizontal="left" vertical="center"/>
    </xf>
    <xf numFmtId="0" fontId="8" fillId="0" borderId="46" xfId="0" applyNumberFormat="1" applyFont="1" applyFill="1" applyBorder="1" applyAlignment="1" applyProtection="1">
      <alignment horizontal="left" vertical="center"/>
    </xf>
    <xf numFmtId="0" fontId="8" fillId="0" borderId="47" xfId="0" applyNumberFormat="1" applyFont="1" applyFill="1" applyBorder="1" applyAlignment="1" applyProtection="1">
      <alignment horizontal="left" vertical="center"/>
    </xf>
    <xf numFmtId="0" fontId="8" fillId="0" borderId="38" xfId="0" applyNumberFormat="1" applyFont="1" applyFill="1" applyBorder="1" applyAlignment="1" applyProtection="1">
      <alignment horizontal="left" vertical="center"/>
    </xf>
    <xf numFmtId="0" fontId="8" fillId="0" borderId="42" xfId="0" applyNumberFormat="1" applyFont="1" applyFill="1" applyBorder="1" applyAlignment="1" applyProtection="1">
      <alignment horizontal="left" vertical="center"/>
    </xf>
    <xf numFmtId="0" fontId="8" fillId="0" borderId="45" xfId="0" applyNumberFormat="1" applyFont="1" applyFill="1" applyBorder="1" applyAlignment="1" applyProtection="1">
      <alignment horizontal="left" vertical="center"/>
    </xf>
    <xf numFmtId="0" fontId="7" fillId="0" borderId="29" xfId="0" applyNumberFormat="1" applyFont="1" applyFill="1" applyBorder="1" applyAlignment="1" applyProtection="1">
      <alignment horizontal="left" vertical="center"/>
    </xf>
    <xf numFmtId="0" fontId="7" fillId="0" borderId="27" xfId="0" applyNumberFormat="1" applyFont="1" applyFill="1" applyBorder="1" applyAlignment="1" applyProtection="1">
      <alignment horizontal="left" vertical="center"/>
    </xf>
    <xf numFmtId="0" fontId="7" fillId="2" borderId="34" xfId="0" applyNumberFormat="1" applyFont="1" applyFill="1" applyBorder="1" applyAlignment="1" applyProtection="1">
      <alignment horizontal="left" vertical="center"/>
    </xf>
    <xf numFmtId="0" fontId="7" fillId="2" borderId="36" xfId="0" applyNumberFormat="1" applyFont="1" applyFill="1" applyBorder="1" applyAlignment="1" applyProtection="1">
      <alignment horizontal="left" vertical="center"/>
    </xf>
    <xf numFmtId="0" fontId="7" fillId="2" borderId="29" xfId="0" applyNumberFormat="1" applyFont="1" applyFill="1" applyBorder="1" applyAlignment="1" applyProtection="1">
      <alignment horizontal="left" vertical="center"/>
    </xf>
    <xf numFmtId="0" fontId="7" fillId="2" borderId="37" xfId="0" applyNumberFormat="1" applyFont="1" applyFill="1" applyBorder="1" applyAlignment="1" applyProtection="1">
      <alignment horizontal="left" vertical="center"/>
    </xf>
    <xf numFmtId="0" fontId="7" fillId="2" borderId="21" xfId="0" applyNumberFormat="1" applyFont="1" applyFill="1" applyBorder="1" applyAlignment="1" applyProtection="1">
      <alignment horizontal="left" vertical="center"/>
    </xf>
    <xf numFmtId="0" fontId="7" fillId="2" borderId="26" xfId="0" applyNumberFormat="1" applyFont="1" applyFill="1" applyBorder="1" applyAlignment="1" applyProtection="1">
      <alignment horizontal="left" vertical="center"/>
    </xf>
    <xf numFmtId="0" fontId="8" fillId="0" borderId="26" xfId="0" applyNumberFormat="1" applyFont="1" applyFill="1" applyBorder="1" applyAlignment="1" applyProtection="1">
      <alignment horizontal="left" vertical="center"/>
    </xf>
    <xf numFmtId="0" fontId="8" fillId="0" borderId="27" xfId="0" applyNumberFormat="1" applyFont="1" applyFill="1" applyBorder="1" applyAlignment="1" applyProtection="1">
      <alignment horizontal="left" vertical="center"/>
    </xf>
    <xf numFmtId="0" fontId="8" fillId="0" borderId="33" xfId="0" applyNumberFormat="1" applyFont="1" applyFill="1" applyBorder="1" applyAlignment="1" applyProtection="1">
      <alignment horizontal="left" vertical="center"/>
    </xf>
    <xf numFmtId="0" fontId="8" fillId="0" borderId="31" xfId="0" applyNumberFormat="1" applyFont="1" applyFill="1" applyBorder="1" applyAlignment="1" applyProtection="1">
      <alignment horizontal="left" vertical="center"/>
    </xf>
    <xf numFmtId="0" fontId="7" fillId="0" borderId="21" xfId="0" applyNumberFormat="1" applyFont="1" applyFill="1" applyBorder="1" applyAlignment="1" applyProtection="1">
      <alignment horizontal="left" vertical="center"/>
    </xf>
    <xf numFmtId="0" fontId="7" fillId="0" borderId="22" xfId="0" applyNumberFormat="1" applyFont="1" applyFill="1" applyBorder="1" applyAlignment="1" applyProtection="1">
      <alignment horizontal="left" vertical="center"/>
    </xf>
    <xf numFmtId="0" fontId="7" fillId="0" borderId="26" xfId="0" applyNumberFormat="1" applyFont="1" applyFill="1" applyBorder="1" applyAlignment="1" applyProtection="1">
      <alignment horizontal="left" vertical="center"/>
    </xf>
    <xf numFmtId="0" fontId="7" fillId="0" borderId="30" xfId="0" applyNumberFormat="1" applyFont="1" applyFill="1" applyBorder="1" applyAlignment="1" applyProtection="1">
      <alignment horizontal="left" vertical="center"/>
    </xf>
    <xf numFmtId="0" fontId="7" fillId="0" borderId="31" xfId="0" applyNumberFormat="1" applyFont="1" applyFill="1" applyBorder="1" applyAlignment="1" applyProtection="1">
      <alignment horizontal="left" vertical="center"/>
    </xf>
    <xf numFmtId="0" fontId="7" fillId="0" borderId="34" xfId="0" applyNumberFormat="1" applyFont="1" applyFill="1" applyBorder="1" applyAlignment="1" applyProtection="1">
      <alignment horizontal="left" vertical="center"/>
    </xf>
    <xf numFmtId="0" fontId="2" fillId="0" borderId="18" xfId="0" applyNumberFormat="1" applyFont="1" applyFill="1" applyBorder="1" applyAlignment="1" applyProtection="1">
      <alignment horizontal="left" vertical="center"/>
    </xf>
    <xf numFmtId="0" fontId="4" fillId="0" borderId="19" xfId="0" applyNumberFormat="1" applyFont="1" applyFill="1" applyBorder="1" applyAlignment="1" applyProtection="1">
      <alignment horizontal="center" vertical="center"/>
    </xf>
    <xf numFmtId="0" fontId="6" fillId="0" borderId="21" xfId="0" applyNumberFormat="1" applyFont="1" applyFill="1" applyBorder="1" applyAlignment="1" applyProtection="1">
      <alignment horizontal="left" vertical="center"/>
    </xf>
    <xf numFmtId="0" fontId="6" fillId="0" borderId="22" xfId="0" applyNumberFormat="1" applyFont="1" applyFill="1" applyBorder="1" applyAlignment="1" applyProtection="1">
      <alignment horizontal="left" vertical="center"/>
    </xf>
    <xf numFmtId="0" fontId="2" fillId="0" borderId="17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 vertical="center"/>
    </xf>
    <xf numFmtId="1" fontId="2" fillId="0" borderId="6" xfId="0" applyNumberFormat="1" applyFont="1" applyFill="1" applyBorder="1" applyAlignment="1" applyProtection="1">
      <alignment horizontal="left" vertical="center"/>
    </xf>
    <xf numFmtId="0" fontId="3" fillId="0" borderId="57" xfId="0" applyNumberFormat="1" applyFont="1" applyFill="1" applyBorder="1" applyAlignment="1" applyProtection="1">
      <alignment horizontal="left" vertical="center"/>
    </xf>
    <xf numFmtId="0" fontId="3" fillId="0" borderId="58" xfId="0" applyNumberFormat="1" applyFont="1" applyFill="1" applyBorder="1" applyAlignment="1" applyProtection="1">
      <alignment horizontal="left" vertical="center"/>
    </xf>
    <xf numFmtId="0" fontId="3" fillId="0" borderId="59" xfId="0" applyNumberFormat="1" applyFont="1" applyFill="1" applyBorder="1" applyAlignment="1" applyProtection="1">
      <alignment horizontal="left" vertical="center"/>
    </xf>
    <xf numFmtId="0" fontId="7" fillId="0" borderId="57" xfId="0" applyNumberFormat="1" applyFont="1" applyFill="1" applyBorder="1" applyAlignment="1" applyProtection="1">
      <alignment horizontal="left" vertical="center"/>
    </xf>
    <xf numFmtId="0" fontId="7" fillId="0" borderId="58" xfId="0" applyNumberFormat="1" applyFont="1" applyFill="1" applyBorder="1" applyAlignment="1" applyProtection="1">
      <alignment horizontal="left" vertical="center"/>
    </xf>
    <xf numFmtId="0" fontId="7" fillId="0" borderId="59" xfId="0" applyNumberFormat="1" applyFont="1" applyFill="1" applyBorder="1" applyAlignment="1" applyProtection="1">
      <alignment horizontal="left" vertical="center"/>
    </xf>
    <xf numFmtId="4" fontId="7" fillId="0" borderId="61" xfId="0" applyNumberFormat="1" applyFont="1" applyFill="1" applyBorder="1" applyAlignment="1" applyProtection="1">
      <alignment horizontal="right" vertical="center"/>
    </xf>
    <xf numFmtId="0" fontId="7" fillId="0" borderId="58" xfId="0" applyNumberFormat="1" applyFont="1" applyFill="1" applyBorder="1" applyAlignment="1" applyProtection="1">
      <alignment horizontal="right" vertical="center"/>
    </xf>
    <xf numFmtId="0" fontId="7" fillId="0" borderId="59" xfId="0" applyNumberFormat="1" applyFont="1" applyFill="1" applyBorder="1" applyAlignment="1" applyProtection="1">
      <alignment horizontal="right" vertical="center"/>
    </xf>
    <xf numFmtId="0" fontId="7" fillId="0" borderId="8" xfId="0" applyNumberFormat="1" applyFont="1" applyFill="1" applyBorder="1" applyAlignment="1" applyProtection="1">
      <alignment horizontal="left" vertical="center"/>
    </xf>
    <xf numFmtId="0" fontId="3" fillId="0" borderId="49" xfId="0" applyNumberFormat="1" applyFont="1" applyFill="1" applyBorder="1" applyAlignment="1" applyProtection="1">
      <alignment horizontal="left" vertical="center"/>
    </xf>
    <xf numFmtId="0" fontId="3" fillId="0" borderId="50" xfId="0" applyNumberFormat="1" applyFont="1" applyFill="1" applyBorder="1" applyAlignment="1" applyProtection="1">
      <alignment horizontal="left" vertical="center"/>
    </xf>
    <xf numFmtId="0" fontId="3" fillId="0" borderId="51" xfId="0" applyNumberFormat="1" applyFont="1" applyFill="1" applyBorder="1" applyAlignment="1" applyProtection="1">
      <alignment horizontal="left" vertical="center"/>
    </xf>
    <xf numFmtId="0" fontId="2" fillId="0" borderId="53" xfId="0" applyNumberFormat="1" applyFont="1" applyFill="1" applyBorder="1" applyAlignment="1" applyProtection="1">
      <alignment horizontal="left" vertical="center"/>
    </xf>
    <xf numFmtId="0" fontId="2" fillId="0" borderId="54" xfId="0" applyNumberFormat="1" applyFont="1" applyFill="1" applyBorder="1" applyAlignment="1" applyProtection="1">
      <alignment horizontal="left" vertical="center"/>
    </xf>
    <xf numFmtId="0" fontId="2" fillId="0" borderId="55" xfId="0" applyNumberFormat="1" applyFont="1" applyFill="1" applyBorder="1" applyAlignment="1" applyProtection="1">
      <alignment horizontal="left" vertical="center"/>
    </xf>
    <xf numFmtId="0" fontId="2" fillId="0" borderId="29" xfId="0" applyNumberFormat="1" applyFont="1" applyFill="1" applyBorder="1" applyAlignment="1" applyProtection="1">
      <alignment horizontal="left" vertical="center"/>
    </xf>
    <xf numFmtId="0" fontId="2" fillId="0" borderId="37" xfId="0" applyNumberFormat="1" applyFont="1" applyFill="1" applyBorder="1" applyAlignment="1" applyProtection="1">
      <alignment horizontal="left" vertical="center"/>
    </xf>
    <xf numFmtId="0" fontId="2" fillId="0" borderId="27" xfId="0" applyNumberFormat="1" applyFont="1" applyFill="1" applyBorder="1" applyAlignment="1" applyProtection="1">
      <alignment horizontal="left" vertical="center"/>
    </xf>
    <xf numFmtId="0" fontId="10" fillId="0" borderId="9" xfId="0" applyNumberFormat="1" applyFont="1" applyFill="1" applyBorder="1" applyAlignment="1" applyProtection="1">
      <alignment horizontal="left" vertical="center" wrapText="1"/>
    </xf>
    <xf numFmtId="0" fontId="10" fillId="0" borderId="9" xfId="0" applyNumberFormat="1" applyFont="1" applyFill="1" applyBorder="1" applyAlignment="1" applyProtection="1">
      <alignment horizontal="left" vertical="center"/>
    </xf>
    <xf numFmtId="0" fontId="10" fillId="0" borderId="18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6" xfId="0" applyNumberFormat="1" applyFont="1" applyFill="1" applyBorder="1" applyAlignment="1" applyProtection="1">
      <alignment horizontal="left" vertical="center"/>
    </xf>
    <xf numFmtId="0" fontId="3" fillId="0" borderId="71" xfId="0" applyNumberFormat="1" applyFont="1" applyFill="1" applyBorder="1" applyAlignment="1" applyProtection="1">
      <alignment horizontal="left" vertical="center"/>
    </xf>
    <xf numFmtId="0" fontId="3" fillId="0" borderId="72" xfId="0" applyNumberFormat="1" applyFont="1" applyFill="1" applyBorder="1" applyAlignment="1" applyProtection="1">
      <alignment horizontal="left" vertical="center"/>
    </xf>
    <xf numFmtId="0" fontId="3" fillId="2" borderId="16" xfId="0" applyNumberFormat="1" applyFont="1" applyFill="1" applyBorder="1" applyAlignment="1" applyProtection="1">
      <alignment horizontal="left" vertical="center" wrapText="1"/>
    </xf>
    <xf numFmtId="0" fontId="3" fillId="2" borderId="16" xfId="0" applyNumberFormat="1" applyFont="1" applyFill="1" applyBorder="1" applyAlignment="1" applyProtection="1">
      <alignment horizontal="left" vertical="center"/>
    </xf>
    <xf numFmtId="0" fontId="3" fillId="0" borderId="64" xfId="0" applyNumberFormat="1" applyFont="1" applyFill="1" applyBorder="1" applyAlignment="1" applyProtection="1">
      <alignment horizontal="left" vertical="center"/>
    </xf>
    <xf numFmtId="0" fontId="3" fillId="0" borderId="65" xfId="0" applyNumberFormat="1" applyFont="1" applyFill="1" applyBorder="1" applyAlignment="1" applyProtection="1">
      <alignment horizontal="left" vertical="center"/>
    </xf>
    <xf numFmtId="0" fontId="2" fillId="3" borderId="0" xfId="0" applyNumberFormat="1" applyFont="1" applyFill="1" applyBorder="1" applyAlignment="1" applyProtection="1">
      <alignment horizontal="left" vertical="center" wrapText="1"/>
      <protection locked="0"/>
    </xf>
    <xf numFmtId="0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3" borderId="9" xfId="0" applyNumberFormat="1" applyFont="1" applyFill="1" applyBorder="1" applyAlignment="1" applyProtection="1">
      <alignment horizontal="left" vertical="center"/>
      <protection locked="0"/>
    </xf>
    <xf numFmtId="0" fontId="2" fillId="3" borderId="6" xfId="0" applyNumberFormat="1" applyFont="1" applyFill="1" applyBorder="1" applyAlignment="1" applyProtection="1">
      <alignment horizontal="left" vertical="center" wrapText="1"/>
      <protection locked="0"/>
    </xf>
    <xf numFmtId="0" fontId="2" fillId="3" borderId="18" xfId="0" applyNumberFormat="1" applyFont="1" applyFill="1" applyBorder="1" applyAlignment="1" applyProtection="1">
      <alignment horizontal="left" vertical="center"/>
      <protection locked="0"/>
    </xf>
    <xf numFmtId="0" fontId="2" fillId="3" borderId="6" xfId="0" applyNumberFormat="1" applyFont="1" applyFill="1" applyBorder="1" applyAlignment="1" applyProtection="1">
      <alignment horizontal="left" vertical="center"/>
      <protection locked="0"/>
    </xf>
    <xf numFmtId="0" fontId="2" fillId="3" borderId="1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Protection="1"/>
    <xf numFmtId="0" fontId="2" fillId="3" borderId="8" xfId="0" applyNumberFormat="1" applyFont="1" applyFill="1" applyBorder="1" applyAlignment="1" applyProtection="1">
      <alignment horizontal="left" vertical="center"/>
      <protection locked="0"/>
    </xf>
    <xf numFmtId="4" fontId="2" fillId="3" borderId="0" xfId="0" applyNumberFormat="1" applyFont="1" applyFill="1" applyBorder="1" applyAlignment="1" applyProtection="1">
      <alignment horizontal="righ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workbookViewId="0">
      <pane ySplit="11" topLeftCell="A12" activePane="bottomLeft" state="frozen"/>
      <selection pane="bottomLeft" activeCell="G8" activeCellId="1" sqref="G6:G7 G8:G9"/>
    </sheetView>
  </sheetViews>
  <sheetFormatPr defaultColWidth="12.140625" defaultRowHeight="15" customHeight="1" x14ac:dyDescent="0.25"/>
  <cols>
    <col min="1" max="2" width="8.5703125" customWidth="1"/>
    <col min="3" max="3" width="71.42578125" customWidth="1"/>
    <col min="4" max="6" width="12.140625" customWidth="1"/>
    <col min="7" max="7" width="27.85546875" customWidth="1"/>
    <col min="8" max="9" width="0" hidden="1" customWidth="1"/>
  </cols>
  <sheetData>
    <row r="1" spans="1:9" ht="54.75" customHeight="1" x14ac:dyDescent="0.25">
      <c r="A1" s="76" t="s">
        <v>0</v>
      </c>
      <c r="B1" s="76"/>
      <c r="C1" s="76"/>
      <c r="D1" s="76"/>
      <c r="E1" s="76"/>
      <c r="F1" s="76"/>
      <c r="G1" s="76"/>
    </row>
    <row r="2" spans="1:9" x14ac:dyDescent="0.25">
      <c r="A2" s="77" t="s">
        <v>1</v>
      </c>
      <c r="B2" s="74"/>
      <c r="C2" s="82" t="str">
        <f>'Stavební rozpočet'!D2</f>
        <v>25014 Bruntál, ul. Ruská - E. Beneše, oprava chodníku</v>
      </c>
      <c r="D2" s="74" t="s">
        <v>2</v>
      </c>
      <c r="E2" s="74" t="s">
        <v>3</v>
      </c>
      <c r="F2" s="81" t="s">
        <v>4</v>
      </c>
      <c r="G2" s="69" t="str">
        <f>'Stavební rozpočet'!J2</f>
        <v> </v>
      </c>
    </row>
    <row r="3" spans="1:9" ht="15" customHeight="1" x14ac:dyDescent="0.25">
      <c r="A3" s="78"/>
      <c r="B3" s="68"/>
      <c r="C3" s="83"/>
      <c r="D3" s="68"/>
      <c r="E3" s="68"/>
      <c r="F3" s="68"/>
      <c r="G3" s="70"/>
    </row>
    <row r="4" spans="1:9" x14ac:dyDescent="0.25">
      <c r="A4" s="79" t="s">
        <v>5</v>
      </c>
      <c r="B4" s="68"/>
      <c r="C4" s="72" t="str">
        <f>'Stavební rozpočet'!D4</f>
        <v xml:space="preserve"> </v>
      </c>
      <c r="D4" s="68" t="s">
        <v>6</v>
      </c>
      <c r="E4" s="68"/>
      <c r="F4" s="72" t="s">
        <v>7</v>
      </c>
      <c r="G4" s="71" t="str">
        <f>'Stavební rozpočet'!J4</f>
        <v> </v>
      </c>
    </row>
    <row r="5" spans="1:9" ht="15" customHeight="1" x14ac:dyDescent="0.25">
      <c r="A5" s="78"/>
      <c r="B5" s="68"/>
      <c r="C5" s="68"/>
      <c r="D5" s="68"/>
      <c r="E5" s="68"/>
      <c r="F5" s="68"/>
      <c r="G5" s="70"/>
    </row>
    <row r="6" spans="1:9" x14ac:dyDescent="0.25">
      <c r="A6" s="79" t="s">
        <v>8</v>
      </c>
      <c r="B6" s="68"/>
      <c r="C6" s="72" t="str">
        <f>'Stavební rozpočet'!D6</f>
        <v xml:space="preserve"> </v>
      </c>
      <c r="D6" s="68" t="s">
        <v>9</v>
      </c>
      <c r="E6" s="68" t="s">
        <v>3</v>
      </c>
      <c r="F6" s="72" t="s">
        <v>10</v>
      </c>
      <c r="G6" s="159" t="str">
        <f>'Stavební rozpočet'!J6</f>
        <v> </v>
      </c>
    </row>
    <row r="7" spans="1:9" ht="15" customHeight="1" x14ac:dyDescent="0.25">
      <c r="A7" s="78"/>
      <c r="B7" s="68"/>
      <c r="C7" s="68"/>
      <c r="D7" s="68"/>
      <c r="E7" s="68"/>
      <c r="F7" s="68"/>
      <c r="G7" s="161"/>
    </row>
    <row r="8" spans="1:9" x14ac:dyDescent="0.25">
      <c r="A8" s="79" t="s">
        <v>11</v>
      </c>
      <c r="B8" s="68"/>
      <c r="C8" s="72" t="str">
        <f>'Stavební rozpočet'!J8</f>
        <v> </v>
      </c>
      <c r="D8" s="68" t="s">
        <v>12</v>
      </c>
      <c r="E8" s="68"/>
      <c r="F8" s="68" t="s">
        <v>12</v>
      </c>
      <c r="G8" s="159"/>
    </row>
    <row r="9" spans="1:9" x14ac:dyDescent="0.25">
      <c r="A9" s="80"/>
      <c r="B9" s="73"/>
      <c r="C9" s="73"/>
      <c r="D9" s="75"/>
      <c r="E9" s="75"/>
      <c r="F9" s="75"/>
      <c r="G9" s="162"/>
    </row>
    <row r="10" spans="1:9" x14ac:dyDescent="0.25">
      <c r="A10" s="1" t="s">
        <v>13</v>
      </c>
      <c r="B10" s="2" t="s">
        <v>14</v>
      </c>
      <c r="C10" s="3" t="s">
        <v>15</v>
      </c>
      <c r="G10" s="4" t="s">
        <v>16</v>
      </c>
    </row>
    <row r="11" spans="1:9" x14ac:dyDescent="0.25">
      <c r="A11" s="5" t="s">
        <v>17</v>
      </c>
      <c r="B11" s="6" t="s">
        <v>18</v>
      </c>
      <c r="C11" s="68" t="s">
        <v>19</v>
      </c>
      <c r="D11" s="68"/>
      <c r="E11" s="68"/>
      <c r="F11" s="68"/>
      <c r="G11" s="7">
        <f>'Stavební rozpočet'!I12</f>
        <v>0</v>
      </c>
      <c r="H11" s="8" t="s">
        <v>20</v>
      </c>
      <c r="I11" s="9">
        <f t="shared" ref="I11:I22" si="0">IF(H11="F",0,G11)</f>
        <v>0</v>
      </c>
    </row>
    <row r="12" spans="1:9" x14ac:dyDescent="0.25">
      <c r="A12" s="60" t="s">
        <v>17</v>
      </c>
      <c r="B12" s="61" t="s">
        <v>21</v>
      </c>
      <c r="C12" s="68" t="s">
        <v>22</v>
      </c>
      <c r="D12" s="68"/>
      <c r="E12" s="68"/>
      <c r="F12" s="68"/>
      <c r="G12" s="9">
        <f>'Stavební rozpočet'!I19</f>
        <v>0</v>
      </c>
      <c r="H12" s="8" t="s">
        <v>20</v>
      </c>
      <c r="I12" s="9">
        <f t="shared" si="0"/>
        <v>0</v>
      </c>
    </row>
    <row r="13" spans="1:9" x14ac:dyDescent="0.25">
      <c r="A13" s="60" t="s">
        <v>17</v>
      </c>
      <c r="B13" s="61" t="s">
        <v>23</v>
      </c>
      <c r="C13" s="68" t="s">
        <v>24</v>
      </c>
      <c r="D13" s="68"/>
      <c r="E13" s="68"/>
      <c r="F13" s="68"/>
      <c r="G13" s="9">
        <f>'Stavební rozpočet'!I40</f>
        <v>0</v>
      </c>
      <c r="H13" s="8" t="s">
        <v>20</v>
      </c>
      <c r="I13" s="9">
        <f t="shared" si="0"/>
        <v>0</v>
      </c>
    </row>
    <row r="14" spans="1:9" x14ac:dyDescent="0.25">
      <c r="A14" s="60" t="s">
        <v>17</v>
      </c>
      <c r="B14" s="61" t="s">
        <v>25</v>
      </c>
      <c r="C14" s="68" t="s">
        <v>26</v>
      </c>
      <c r="D14" s="68"/>
      <c r="E14" s="68"/>
      <c r="F14" s="68"/>
      <c r="G14" s="9">
        <f>'Stavební rozpočet'!I48</f>
        <v>0</v>
      </c>
      <c r="H14" s="8" t="s">
        <v>20</v>
      </c>
      <c r="I14" s="9">
        <f t="shared" si="0"/>
        <v>0</v>
      </c>
    </row>
    <row r="15" spans="1:9" x14ac:dyDescent="0.25">
      <c r="A15" s="60" t="s">
        <v>17</v>
      </c>
      <c r="B15" s="61" t="s">
        <v>27</v>
      </c>
      <c r="C15" s="68" t="s">
        <v>28</v>
      </c>
      <c r="D15" s="68"/>
      <c r="E15" s="68"/>
      <c r="F15" s="68"/>
      <c r="G15" s="9">
        <f>'Stavební rozpočet'!I52</f>
        <v>0</v>
      </c>
      <c r="H15" s="8" t="s">
        <v>20</v>
      </c>
      <c r="I15" s="9">
        <f t="shared" si="0"/>
        <v>0</v>
      </c>
    </row>
    <row r="16" spans="1:9" x14ac:dyDescent="0.25">
      <c r="A16" s="60" t="s">
        <v>17</v>
      </c>
      <c r="B16" s="61" t="s">
        <v>29</v>
      </c>
      <c r="C16" s="68" t="s">
        <v>30</v>
      </c>
      <c r="D16" s="68"/>
      <c r="E16" s="68"/>
      <c r="F16" s="68"/>
      <c r="G16" s="9">
        <f>'Stavební rozpočet'!I62</f>
        <v>0</v>
      </c>
      <c r="H16" s="8" t="s">
        <v>20</v>
      </c>
      <c r="I16" s="9">
        <f t="shared" si="0"/>
        <v>0</v>
      </c>
    </row>
    <row r="17" spans="1:9" x14ac:dyDescent="0.25">
      <c r="A17" s="60" t="s">
        <v>17</v>
      </c>
      <c r="B17" s="61" t="s">
        <v>31</v>
      </c>
      <c r="C17" s="68" t="s">
        <v>32</v>
      </c>
      <c r="D17" s="68"/>
      <c r="E17" s="68"/>
      <c r="F17" s="68"/>
      <c r="G17" s="9">
        <f>'Stavební rozpočet'!I64</f>
        <v>0</v>
      </c>
      <c r="H17" s="8" t="s">
        <v>20</v>
      </c>
      <c r="I17" s="9">
        <f t="shared" si="0"/>
        <v>0</v>
      </c>
    </row>
    <row r="18" spans="1:9" x14ac:dyDescent="0.25">
      <c r="A18" s="60" t="s">
        <v>17</v>
      </c>
      <c r="B18" s="61" t="s">
        <v>33</v>
      </c>
      <c r="C18" s="68" t="s">
        <v>34</v>
      </c>
      <c r="D18" s="68"/>
      <c r="E18" s="68"/>
      <c r="F18" s="68"/>
      <c r="G18" s="9">
        <f>'Stavební rozpočet'!I69</f>
        <v>0</v>
      </c>
      <c r="H18" s="8" t="s">
        <v>20</v>
      </c>
      <c r="I18" s="9">
        <f t="shared" si="0"/>
        <v>0</v>
      </c>
    </row>
    <row r="19" spans="1:9" x14ac:dyDescent="0.25">
      <c r="A19" s="60" t="s">
        <v>17</v>
      </c>
      <c r="B19" s="61" t="s">
        <v>35</v>
      </c>
      <c r="C19" s="68" t="s">
        <v>36</v>
      </c>
      <c r="D19" s="68"/>
      <c r="E19" s="68"/>
      <c r="F19" s="68"/>
      <c r="G19" s="9">
        <f>'Stavební rozpočet'!I72</f>
        <v>0</v>
      </c>
      <c r="H19" s="8" t="s">
        <v>20</v>
      </c>
      <c r="I19" s="9">
        <f t="shared" si="0"/>
        <v>0</v>
      </c>
    </row>
    <row r="20" spans="1:9" x14ac:dyDescent="0.25">
      <c r="A20" s="60" t="s">
        <v>17</v>
      </c>
      <c r="B20" s="61" t="s">
        <v>37</v>
      </c>
      <c r="C20" s="68" t="s">
        <v>38</v>
      </c>
      <c r="D20" s="68"/>
      <c r="E20" s="68"/>
      <c r="F20" s="68"/>
      <c r="G20" s="9">
        <f>'Stavební rozpočet'!I92</f>
        <v>0</v>
      </c>
      <c r="H20" s="8" t="s">
        <v>20</v>
      </c>
      <c r="I20" s="9">
        <f t="shared" si="0"/>
        <v>0</v>
      </c>
    </row>
    <row r="21" spans="1:9" x14ac:dyDescent="0.25">
      <c r="A21" s="60" t="s">
        <v>17</v>
      </c>
      <c r="B21" s="61" t="s">
        <v>39</v>
      </c>
      <c r="C21" s="68" t="s">
        <v>40</v>
      </c>
      <c r="D21" s="68"/>
      <c r="E21" s="68"/>
      <c r="F21" s="68"/>
      <c r="G21" s="9">
        <f>'Stavební rozpočet'!I98</f>
        <v>0</v>
      </c>
      <c r="H21" s="8" t="s">
        <v>20</v>
      </c>
      <c r="I21" s="9">
        <f t="shared" si="0"/>
        <v>0</v>
      </c>
    </row>
    <row r="22" spans="1:9" x14ac:dyDescent="0.25">
      <c r="A22" s="60" t="s">
        <v>17</v>
      </c>
      <c r="B22" s="61" t="s">
        <v>41</v>
      </c>
      <c r="C22" s="68" t="s">
        <v>42</v>
      </c>
      <c r="D22" s="68"/>
      <c r="E22" s="68"/>
      <c r="F22" s="68"/>
      <c r="G22" s="9">
        <f>'Stavební rozpočet'!I105</f>
        <v>0</v>
      </c>
      <c r="H22" s="8" t="s">
        <v>20</v>
      </c>
      <c r="I22" s="9">
        <f t="shared" si="0"/>
        <v>0</v>
      </c>
    </row>
    <row r="23" spans="1:9" x14ac:dyDescent="0.25">
      <c r="F23" s="63" t="s">
        <v>43</v>
      </c>
      <c r="G23" s="10">
        <f>SUM(I11:I22)</f>
        <v>0</v>
      </c>
    </row>
  </sheetData>
  <sheetProtection password="8515" sheet="1" objects="1" scenarios="1"/>
  <mergeCells count="37">
    <mergeCell ref="A1:G1"/>
    <mergeCell ref="A2:B3"/>
    <mergeCell ref="A4:B5"/>
    <mergeCell ref="A6:B7"/>
    <mergeCell ref="A8:B9"/>
    <mergeCell ref="D2:D3"/>
    <mergeCell ref="D4:D5"/>
    <mergeCell ref="D6:D7"/>
    <mergeCell ref="D8:D9"/>
    <mergeCell ref="F2:F3"/>
    <mergeCell ref="F4:F5"/>
    <mergeCell ref="F6:F7"/>
    <mergeCell ref="F8:F9"/>
    <mergeCell ref="C2:C3"/>
    <mergeCell ref="C4:C5"/>
    <mergeCell ref="C6:C7"/>
    <mergeCell ref="G2:G3"/>
    <mergeCell ref="G4:G5"/>
    <mergeCell ref="G6:G7"/>
    <mergeCell ref="G8:G9"/>
    <mergeCell ref="C11:F11"/>
    <mergeCell ref="C8:C9"/>
    <mergeCell ref="E2:E3"/>
    <mergeCell ref="E4:E5"/>
    <mergeCell ref="E6:E7"/>
    <mergeCell ref="E8:E9"/>
    <mergeCell ref="C12:F12"/>
    <mergeCell ref="C13:F13"/>
    <mergeCell ref="C14:F14"/>
    <mergeCell ref="C15:F15"/>
    <mergeCell ref="C16:F16"/>
    <mergeCell ref="C22:F22"/>
    <mergeCell ref="C17:F17"/>
    <mergeCell ref="C18:F18"/>
    <mergeCell ref="C19:F19"/>
    <mergeCell ref="C20:F20"/>
    <mergeCell ref="C21:F21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workbookViewId="0">
      <selection activeCell="J11" sqref="J11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120" t="s">
        <v>44</v>
      </c>
      <c r="B1" s="76"/>
      <c r="C1" s="76"/>
      <c r="D1" s="76"/>
      <c r="E1" s="76"/>
      <c r="F1" s="76"/>
      <c r="G1" s="76"/>
      <c r="H1" s="76"/>
      <c r="I1" s="76"/>
    </row>
    <row r="2" spans="1:9" x14ac:dyDescent="0.25">
      <c r="A2" s="77" t="s">
        <v>1</v>
      </c>
      <c r="B2" s="74"/>
      <c r="C2" s="82" t="str">
        <f>'Stavební rozpočet'!D2</f>
        <v>25014 Bruntál, ul. Ruská - E. Beneše, oprava chodníku</v>
      </c>
      <c r="D2" s="119"/>
      <c r="E2" s="81" t="s">
        <v>4</v>
      </c>
      <c r="F2" s="81" t="str">
        <f>'Stavební rozpočet'!J2</f>
        <v> </v>
      </c>
      <c r="G2" s="74"/>
      <c r="H2" s="81" t="s">
        <v>45</v>
      </c>
      <c r="I2" s="121" t="s">
        <v>17</v>
      </c>
    </row>
    <row r="3" spans="1:9" ht="15" customHeight="1" x14ac:dyDescent="0.25">
      <c r="A3" s="78"/>
      <c r="B3" s="68"/>
      <c r="C3" s="83"/>
      <c r="D3" s="83"/>
      <c r="E3" s="68"/>
      <c r="F3" s="68"/>
      <c r="G3" s="68"/>
      <c r="H3" s="68"/>
      <c r="I3" s="70"/>
    </row>
    <row r="4" spans="1:9" x14ac:dyDescent="0.25">
      <c r="A4" s="79" t="s">
        <v>5</v>
      </c>
      <c r="B4" s="68"/>
      <c r="C4" s="72" t="str">
        <f>'Stavební rozpočet'!D4</f>
        <v xml:space="preserve"> </v>
      </c>
      <c r="D4" s="68"/>
      <c r="E4" s="72" t="s">
        <v>7</v>
      </c>
      <c r="F4" s="72" t="str">
        <f>'Stavební rozpočet'!J4</f>
        <v> </v>
      </c>
      <c r="G4" s="68"/>
      <c r="H4" s="72" t="s">
        <v>45</v>
      </c>
      <c r="I4" s="70" t="s">
        <v>17</v>
      </c>
    </row>
    <row r="5" spans="1:9" ht="15" customHeight="1" x14ac:dyDescent="0.25">
      <c r="A5" s="78"/>
      <c r="B5" s="68"/>
      <c r="C5" s="68"/>
      <c r="D5" s="68"/>
      <c r="E5" s="68"/>
      <c r="F5" s="68"/>
      <c r="G5" s="68"/>
      <c r="H5" s="68"/>
      <c r="I5" s="70"/>
    </row>
    <row r="6" spans="1:9" x14ac:dyDescent="0.25">
      <c r="A6" s="79" t="s">
        <v>8</v>
      </c>
      <c r="B6" s="68"/>
      <c r="C6" s="72" t="str">
        <f>'Stavební rozpočet'!D6</f>
        <v xml:space="preserve"> </v>
      </c>
      <c r="D6" s="68"/>
      <c r="E6" s="72" t="s">
        <v>10</v>
      </c>
      <c r="F6" s="156" t="str">
        <f>'Stavební rozpočet'!J6</f>
        <v> </v>
      </c>
      <c r="G6" s="157"/>
      <c r="H6" s="72" t="s">
        <v>45</v>
      </c>
      <c r="I6" s="161" t="s">
        <v>17</v>
      </c>
    </row>
    <row r="7" spans="1:9" ht="15" customHeight="1" x14ac:dyDescent="0.25">
      <c r="A7" s="78"/>
      <c r="B7" s="68"/>
      <c r="C7" s="68"/>
      <c r="D7" s="68"/>
      <c r="E7" s="68"/>
      <c r="F7" s="157"/>
      <c r="G7" s="157"/>
      <c r="H7" s="68"/>
      <c r="I7" s="161"/>
    </row>
    <row r="8" spans="1:9" x14ac:dyDescent="0.25">
      <c r="A8" s="79" t="s">
        <v>6</v>
      </c>
      <c r="B8" s="68"/>
      <c r="C8" s="72"/>
      <c r="D8" s="68"/>
      <c r="E8" s="72" t="s">
        <v>9</v>
      </c>
      <c r="F8" s="72" t="str">
        <f>'Stavební rozpočet'!H6</f>
        <v xml:space="preserve"> </v>
      </c>
      <c r="G8" s="68"/>
      <c r="H8" s="68" t="s">
        <v>46</v>
      </c>
      <c r="I8" s="122">
        <v>38</v>
      </c>
    </row>
    <row r="9" spans="1:9" x14ac:dyDescent="0.25">
      <c r="A9" s="78"/>
      <c r="B9" s="68"/>
      <c r="C9" s="68"/>
      <c r="D9" s="68"/>
      <c r="E9" s="68"/>
      <c r="F9" s="68"/>
      <c r="G9" s="68"/>
      <c r="H9" s="68"/>
      <c r="I9" s="70"/>
    </row>
    <row r="10" spans="1:9" x14ac:dyDescent="0.25">
      <c r="A10" s="79" t="s">
        <v>47</v>
      </c>
      <c r="B10" s="68"/>
      <c r="C10" s="72" t="str">
        <f>'Stavební rozpočet'!D8</f>
        <v xml:space="preserve"> </v>
      </c>
      <c r="D10" s="68"/>
      <c r="E10" s="72" t="s">
        <v>11</v>
      </c>
      <c r="F10" s="156" t="str">
        <f>'Stavební rozpočet'!J8</f>
        <v> </v>
      </c>
      <c r="G10" s="157"/>
      <c r="H10" s="68" t="s">
        <v>48</v>
      </c>
      <c r="I10" s="159"/>
    </row>
    <row r="11" spans="1:9" x14ac:dyDescent="0.25">
      <c r="A11" s="118"/>
      <c r="B11" s="75"/>
      <c r="C11" s="75"/>
      <c r="D11" s="75"/>
      <c r="E11" s="75"/>
      <c r="F11" s="158"/>
      <c r="G11" s="158"/>
      <c r="H11" s="75"/>
      <c r="I11" s="160"/>
    </row>
    <row r="12" spans="1:9" ht="23.25" x14ac:dyDescent="0.25">
      <c r="A12" s="115" t="s">
        <v>49</v>
      </c>
      <c r="B12" s="115"/>
      <c r="C12" s="115"/>
      <c r="D12" s="115"/>
      <c r="E12" s="115"/>
      <c r="F12" s="115"/>
      <c r="G12" s="115"/>
      <c r="H12" s="115"/>
      <c r="I12" s="115"/>
    </row>
    <row r="13" spans="1:9" ht="26.25" customHeight="1" x14ac:dyDescent="0.25">
      <c r="A13" s="11" t="s">
        <v>50</v>
      </c>
      <c r="B13" s="116" t="s">
        <v>51</v>
      </c>
      <c r="C13" s="117"/>
      <c r="D13" s="12" t="s">
        <v>52</v>
      </c>
      <c r="E13" s="116" t="s">
        <v>53</v>
      </c>
      <c r="F13" s="117"/>
      <c r="G13" s="12" t="s">
        <v>54</v>
      </c>
      <c r="H13" s="116" t="s">
        <v>55</v>
      </c>
      <c r="I13" s="117"/>
    </row>
    <row r="14" spans="1:9" ht="15.75" x14ac:dyDescent="0.25">
      <c r="A14" s="13" t="s">
        <v>56</v>
      </c>
      <c r="B14" s="14" t="s">
        <v>57</v>
      </c>
      <c r="C14" s="15">
        <f>SUM('Stavební rozpočet'!AB12:AB115)</f>
        <v>0</v>
      </c>
      <c r="D14" s="104" t="s">
        <v>58</v>
      </c>
      <c r="E14" s="105"/>
      <c r="F14" s="15">
        <f>VORN!I15</f>
        <v>0</v>
      </c>
      <c r="G14" s="104" t="s">
        <v>59</v>
      </c>
      <c r="H14" s="105"/>
      <c r="I14" s="16">
        <f>VORN!I21</f>
        <v>0</v>
      </c>
    </row>
    <row r="15" spans="1:9" ht="15.75" x14ac:dyDescent="0.25">
      <c r="A15" s="17" t="s">
        <v>17</v>
      </c>
      <c r="B15" s="14" t="s">
        <v>60</v>
      </c>
      <c r="C15" s="15">
        <f>SUM('Stavební rozpočet'!AC12:AC115)</f>
        <v>0</v>
      </c>
      <c r="D15" s="104" t="s">
        <v>61</v>
      </c>
      <c r="E15" s="105"/>
      <c r="F15" s="15">
        <f>VORN!I16</f>
        <v>0</v>
      </c>
      <c r="G15" s="104" t="s">
        <v>62</v>
      </c>
      <c r="H15" s="105"/>
      <c r="I15" s="16">
        <f>VORN!I22</f>
        <v>0</v>
      </c>
    </row>
    <row r="16" spans="1:9" ht="15.75" x14ac:dyDescent="0.25">
      <c r="A16" s="13" t="s">
        <v>63</v>
      </c>
      <c r="B16" s="14" t="s">
        <v>57</v>
      </c>
      <c r="C16" s="15">
        <f>SUM('Stavební rozpočet'!AD12:AD115)</f>
        <v>0</v>
      </c>
      <c r="D16" s="104" t="s">
        <v>64</v>
      </c>
      <c r="E16" s="105"/>
      <c r="F16" s="15">
        <f>VORN!I17</f>
        <v>0</v>
      </c>
      <c r="G16" s="104" t="s">
        <v>65</v>
      </c>
      <c r="H16" s="105"/>
      <c r="I16" s="16">
        <f>VORN!I23</f>
        <v>0</v>
      </c>
    </row>
    <row r="17" spans="1:9" ht="15.75" x14ac:dyDescent="0.25">
      <c r="A17" s="17" t="s">
        <v>17</v>
      </c>
      <c r="B17" s="14" t="s">
        <v>60</v>
      </c>
      <c r="C17" s="15">
        <f>SUM('Stavební rozpočet'!AE12:AE115)</f>
        <v>0</v>
      </c>
      <c r="D17" s="104" t="s">
        <v>17</v>
      </c>
      <c r="E17" s="105"/>
      <c r="F17" s="16" t="s">
        <v>17</v>
      </c>
      <c r="G17" s="104" t="s">
        <v>66</v>
      </c>
      <c r="H17" s="105"/>
      <c r="I17" s="16">
        <f>VORN!I24</f>
        <v>0</v>
      </c>
    </row>
    <row r="18" spans="1:9" ht="15.75" x14ac:dyDescent="0.25">
      <c r="A18" s="13" t="s">
        <v>67</v>
      </c>
      <c r="B18" s="14" t="s">
        <v>57</v>
      </c>
      <c r="C18" s="15">
        <f>SUM('Stavební rozpočet'!AF12:AF115)</f>
        <v>0</v>
      </c>
      <c r="D18" s="104" t="s">
        <v>17</v>
      </c>
      <c r="E18" s="105"/>
      <c r="F18" s="16" t="s">
        <v>17</v>
      </c>
      <c r="G18" s="104" t="s">
        <v>68</v>
      </c>
      <c r="H18" s="105"/>
      <c r="I18" s="16">
        <f>VORN!I25</f>
        <v>0</v>
      </c>
    </row>
    <row r="19" spans="1:9" ht="15.75" x14ac:dyDescent="0.25">
      <c r="A19" s="17" t="s">
        <v>17</v>
      </c>
      <c r="B19" s="14" t="s">
        <v>60</v>
      </c>
      <c r="C19" s="15">
        <f>SUM('Stavební rozpočet'!AG12:AG115)</f>
        <v>0</v>
      </c>
      <c r="D19" s="104" t="s">
        <v>17</v>
      </c>
      <c r="E19" s="105"/>
      <c r="F19" s="16" t="s">
        <v>17</v>
      </c>
      <c r="G19" s="104" t="s">
        <v>69</v>
      </c>
      <c r="H19" s="105"/>
      <c r="I19" s="16">
        <f>VORN!I26</f>
        <v>0</v>
      </c>
    </row>
    <row r="20" spans="1:9" ht="15.75" x14ac:dyDescent="0.25">
      <c r="A20" s="96" t="s">
        <v>70</v>
      </c>
      <c r="B20" s="97"/>
      <c r="C20" s="15">
        <f>SUM('Stavební rozpočet'!AH12:AH115)</f>
        <v>0</v>
      </c>
      <c r="D20" s="104" t="s">
        <v>17</v>
      </c>
      <c r="E20" s="105"/>
      <c r="F20" s="16" t="s">
        <v>17</v>
      </c>
      <c r="G20" s="104" t="s">
        <v>17</v>
      </c>
      <c r="H20" s="105"/>
      <c r="I20" s="16" t="s">
        <v>17</v>
      </c>
    </row>
    <row r="21" spans="1:9" ht="15.75" x14ac:dyDescent="0.25">
      <c r="A21" s="111" t="s">
        <v>71</v>
      </c>
      <c r="B21" s="112"/>
      <c r="C21" s="18">
        <f>SUM('Stavební rozpočet'!Z12:Z115)</f>
        <v>0</v>
      </c>
      <c r="D21" s="106" t="s">
        <v>17</v>
      </c>
      <c r="E21" s="107"/>
      <c r="F21" s="19" t="s">
        <v>17</v>
      </c>
      <c r="G21" s="106" t="s">
        <v>17</v>
      </c>
      <c r="H21" s="107"/>
      <c r="I21" s="19" t="s">
        <v>17</v>
      </c>
    </row>
    <row r="22" spans="1:9" ht="16.5" customHeight="1" x14ac:dyDescent="0.25">
      <c r="A22" s="113" t="s">
        <v>72</v>
      </c>
      <c r="B22" s="109"/>
      <c r="C22" s="20">
        <f>SUM(C14:C21)</f>
        <v>0</v>
      </c>
      <c r="D22" s="108" t="s">
        <v>73</v>
      </c>
      <c r="E22" s="109"/>
      <c r="F22" s="20">
        <f>SUM(F14:F21)</f>
        <v>0</v>
      </c>
      <c r="G22" s="108" t="s">
        <v>74</v>
      </c>
      <c r="H22" s="109"/>
      <c r="I22" s="20">
        <f>SUM(I14:I21)</f>
        <v>0</v>
      </c>
    </row>
    <row r="23" spans="1:9" ht="15.75" x14ac:dyDescent="0.25">
      <c r="D23" s="96" t="s">
        <v>75</v>
      </c>
      <c r="E23" s="97"/>
      <c r="F23" s="21">
        <v>0</v>
      </c>
      <c r="G23" s="110" t="s">
        <v>76</v>
      </c>
      <c r="H23" s="97"/>
      <c r="I23" s="15">
        <v>0</v>
      </c>
    </row>
    <row r="24" spans="1:9" ht="15.75" x14ac:dyDescent="0.25">
      <c r="G24" s="96" t="s">
        <v>77</v>
      </c>
      <c r="H24" s="97"/>
      <c r="I24" s="18">
        <f>vorn_sum</f>
        <v>0</v>
      </c>
    </row>
    <row r="25" spans="1:9" ht="15.75" x14ac:dyDescent="0.25">
      <c r="G25" s="96" t="s">
        <v>78</v>
      </c>
      <c r="H25" s="97"/>
      <c r="I25" s="20">
        <v>0</v>
      </c>
    </row>
    <row r="27" spans="1:9" ht="15.75" x14ac:dyDescent="0.25">
      <c r="A27" s="98" t="s">
        <v>79</v>
      </c>
      <c r="B27" s="99"/>
      <c r="C27" s="22">
        <f>SUM('Stavební rozpočet'!AJ12:AJ115)</f>
        <v>0</v>
      </c>
    </row>
    <row r="28" spans="1:9" ht="15.75" x14ac:dyDescent="0.25">
      <c r="A28" s="100" t="s">
        <v>80</v>
      </c>
      <c r="B28" s="101"/>
      <c r="C28" s="23">
        <f>SUM('Stavební rozpočet'!AK12:AK115)</f>
        <v>0</v>
      </c>
      <c r="D28" s="102" t="s">
        <v>81</v>
      </c>
      <c r="E28" s="99"/>
      <c r="F28" s="22">
        <f>ROUND(C28*(12/100),2)</f>
        <v>0</v>
      </c>
      <c r="G28" s="102" t="s">
        <v>82</v>
      </c>
      <c r="H28" s="99"/>
      <c r="I28" s="22">
        <f>SUM(C27:C29)</f>
        <v>0</v>
      </c>
    </row>
    <row r="29" spans="1:9" ht="15.75" x14ac:dyDescent="0.25">
      <c r="A29" s="100" t="s">
        <v>83</v>
      </c>
      <c r="B29" s="101"/>
      <c r="C29" s="23">
        <f>SUM('Stavební rozpočet'!AL12:AL115)+(F22+I22+F23+I23+I24+I25)</f>
        <v>0</v>
      </c>
      <c r="D29" s="103" t="s">
        <v>84</v>
      </c>
      <c r="E29" s="101"/>
      <c r="F29" s="23">
        <f>ROUND(C29*(21/100),2)</f>
        <v>0</v>
      </c>
      <c r="G29" s="103" t="s">
        <v>85</v>
      </c>
      <c r="H29" s="101"/>
      <c r="I29" s="23">
        <f>SUM(F28:F29)+I28</f>
        <v>0</v>
      </c>
    </row>
    <row r="31" spans="1:9" x14ac:dyDescent="0.25">
      <c r="A31" s="93" t="s">
        <v>86</v>
      </c>
      <c r="B31" s="85"/>
      <c r="C31" s="86"/>
      <c r="D31" s="84" t="s">
        <v>87</v>
      </c>
      <c r="E31" s="85"/>
      <c r="F31" s="86"/>
      <c r="G31" s="84" t="s">
        <v>88</v>
      </c>
      <c r="H31" s="85"/>
      <c r="I31" s="86"/>
    </row>
    <row r="32" spans="1:9" x14ac:dyDescent="0.25">
      <c r="A32" s="94" t="s">
        <v>17</v>
      </c>
      <c r="B32" s="88"/>
      <c r="C32" s="89"/>
      <c r="D32" s="87" t="s">
        <v>17</v>
      </c>
      <c r="E32" s="88"/>
      <c r="F32" s="89"/>
      <c r="G32" s="87" t="s">
        <v>17</v>
      </c>
      <c r="H32" s="88"/>
      <c r="I32" s="89"/>
    </row>
    <row r="33" spans="1:9" x14ac:dyDescent="0.25">
      <c r="A33" s="94" t="s">
        <v>17</v>
      </c>
      <c r="B33" s="88"/>
      <c r="C33" s="89"/>
      <c r="D33" s="87" t="s">
        <v>17</v>
      </c>
      <c r="E33" s="88"/>
      <c r="F33" s="89"/>
      <c r="G33" s="87" t="s">
        <v>17</v>
      </c>
      <c r="H33" s="88"/>
      <c r="I33" s="89"/>
    </row>
    <row r="34" spans="1:9" x14ac:dyDescent="0.25">
      <c r="A34" s="94" t="s">
        <v>17</v>
      </c>
      <c r="B34" s="88"/>
      <c r="C34" s="89"/>
      <c r="D34" s="87" t="s">
        <v>17</v>
      </c>
      <c r="E34" s="88"/>
      <c r="F34" s="89"/>
      <c r="G34" s="87" t="s">
        <v>17</v>
      </c>
      <c r="H34" s="88"/>
      <c r="I34" s="89"/>
    </row>
    <row r="35" spans="1:9" x14ac:dyDescent="0.25">
      <c r="A35" s="95" t="s">
        <v>89</v>
      </c>
      <c r="B35" s="91"/>
      <c r="C35" s="92"/>
      <c r="D35" s="90" t="s">
        <v>89</v>
      </c>
      <c r="E35" s="91"/>
      <c r="F35" s="92"/>
      <c r="G35" s="90" t="s">
        <v>89</v>
      </c>
      <c r="H35" s="91"/>
      <c r="I35" s="92"/>
    </row>
    <row r="36" spans="1:9" x14ac:dyDescent="0.25">
      <c r="A36" s="24" t="s">
        <v>90</v>
      </c>
    </row>
    <row r="37" spans="1:9" ht="12.75" customHeight="1" x14ac:dyDescent="0.25">
      <c r="A37" s="72" t="s">
        <v>17</v>
      </c>
      <c r="B37" s="68"/>
      <c r="C37" s="68"/>
      <c r="D37" s="68"/>
      <c r="E37" s="68"/>
      <c r="F37" s="68"/>
      <c r="G37" s="68"/>
      <c r="H37" s="68"/>
      <c r="I37" s="68"/>
    </row>
  </sheetData>
  <sheetProtection password="8515" sheet="1" objects="1" scenarios="1"/>
  <mergeCells count="83"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  <mergeCell ref="C8:D9"/>
    <mergeCell ref="C10:D11"/>
    <mergeCell ref="E2:E3"/>
    <mergeCell ref="E4:E5"/>
    <mergeCell ref="E6:E7"/>
    <mergeCell ref="E8:E9"/>
    <mergeCell ref="E10:E11"/>
    <mergeCell ref="H2:H3"/>
    <mergeCell ref="H4:H5"/>
    <mergeCell ref="H6:H7"/>
    <mergeCell ref="H8:H9"/>
    <mergeCell ref="H10:H11"/>
    <mergeCell ref="I10:I11"/>
    <mergeCell ref="A12:I12"/>
    <mergeCell ref="B13:C13"/>
    <mergeCell ref="E13:F13"/>
    <mergeCell ref="H13:I13"/>
    <mergeCell ref="F10:G11"/>
    <mergeCell ref="A10:B11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</mergeCells>
  <pageMargins left="0.393999993801117" right="0.393999993801117" top="0.59100002050399802" bottom="0.59100002050399802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workbookViewId="0">
      <selection activeCell="A36" sqref="A36:E36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120" t="s">
        <v>91</v>
      </c>
      <c r="B1" s="76"/>
      <c r="C1" s="76"/>
      <c r="D1" s="76"/>
      <c r="E1" s="76"/>
      <c r="F1" s="76"/>
      <c r="G1" s="76"/>
      <c r="H1" s="76"/>
      <c r="I1" s="76"/>
    </row>
    <row r="2" spans="1:9" x14ac:dyDescent="0.25">
      <c r="A2" s="77" t="s">
        <v>1</v>
      </c>
      <c r="B2" s="74"/>
      <c r="C2" s="82" t="str">
        <f>'Stavební rozpočet'!D2</f>
        <v>25014 Bruntál, ul. Ruská - E. Beneše, oprava chodníku</v>
      </c>
      <c r="D2" s="119"/>
      <c r="E2" s="81" t="s">
        <v>4</v>
      </c>
      <c r="F2" s="81" t="str">
        <f>'Stavební rozpočet'!J2</f>
        <v> </v>
      </c>
      <c r="G2" s="74"/>
      <c r="H2" s="81" t="s">
        <v>45</v>
      </c>
      <c r="I2" s="121" t="s">
        <v>17</v>
      </c>
    </row>
    <row r="3" spans="1:9" ht="15" customHeight="1" x14ac:dyDescent="0.25">
      <c r="A3" s="78"/>
      <c r="B3" s="68"/>
      <c r="C3" s="83"/>
      <c r="D3" s="83"/>
      <c r="E3" s="68"/>
      <c r="F3" s="68"/>
      <c r="G3" s="68"/>
      <c r="H3" s="68"/>
      <c r="I3" s="70"/>
    </row>
    <row r="4" spans="1:9" x14ac:dyDescent="0.25">
      <c r="A4" s="79" t="s">
        <v>5</v>
      </c>
      <c r="B4" s="68"/>
      <c r="C4" s="72" t="str">
        <f>'Stavební rozpočet'!D4</f>
        <v xml:space="preserve"> </v>
      </c>
      <c r="D4" s="68"/>
      <c r="E4" s="72" t="s">
        <v>7</v>
      </c>
      <c r="F4" s="72" t="str">
        <f>'Stavební rozpočet'!J4</f>
        <v> </v>
      </c>
      <c r="G4" s="68"/>
      <c r="H4" s="72" t="s">
        <v>45</v>
      </c>
      <c r="I4" s="70" t="s">
        <v>17</v>
      </c>
    </row>
    <row r="5" spans="1:9" ht="15" customHeight="1" x14ac:dyDescent="0.25">
      <c r="A5" s="78"/>
      <c r="B5" s="68"/>
      <c r="C5" s="68"/>
      <c r="D5" s="68"/>
      <c r="E5" s="68"/>
      <c r="F5" s="68"/>
      <c r="G5" s="68"/>
      <c r="H5" s="68"/>
      <c r="I5" s="70"/>
    </row>
    <row r="6" spans="1:9" x14ac:dyDescent="0.25">
      <c r="A6" s="79" t="s">
        <v>8</v>
      </c>
      <c r="B6" s="68"/>
      <c r="C6" s="72" t="str">
        <f>'Stavební rozpočet'!D6</f>
        <v xml:space="preserve"> </v>
      </c>
      <c r="D6" s="68"/>
      <c r="E6" s="72" t="s">
        <v>10</v>
      </c>
      <c r="F6" s="72" t="str">
        <f>'Stavební rozpočet'!J6</f>
        <v> </v>
      </c>
      <c r="G6" s="68"/>
      <c r="H6" s="72" t="s">
        <v>45</v>
      </c>
      <c r="I6" s="70" t="s">
        <v>17</v>
      </c>
    </row>
    <row r="7" spans="1:9" ht="15" customHeight="1" x14ac:dyDescent="0.25">
      <c r="A7" s="78"/>
      <c r="B7" s="68"/>
      <c r="C7" s="68"/>
      <c r="D7" s="68"/>
      <c r="E7" s="68"/>
      <c r="F7" s="68"/>
      <c r="G7" s="68"/>
      <c r="H7" s="68"/>
      <c r="I7" s="70"/>
    </row>
    <row r="8" spans="1:9" x14ac:dyDescent="0.25">
      <c r="A8" s="79" t="s">
        <v>6</v>
      </c>
      <c r="B8" s="68"/>
      <c r="C8" s="72">
        <f>'Stavební rozpočet'!H4</f>
        <v>0</v>
      </c>
      <c r="D8" s="68"/>
      <c r="E8" s="72" t="s">
        <v>9</v>
      </c>
      <c r="F8" s="72" t="str">
        <f>'Stavební rozpočet'!H6</f>
        <v xml:space="preserve"> </v>
      </c>
      <c r="G8" s="68"/>
      <c r="H8" s="68" t="s">
        <v>46</v>
      </c>
      <c r="I8" s="122">
        <v>38</v>
      </c>
    </row>
    <row r="9" spans="1:9" x14ac:dyDescent="0.25">
      <c r="A9" s="78"/>
      <c r="B9" s="68"/>
      <c r="C9" s="68"/>
      <c r="D9" s="68"/>
      <c r="E9" s="68"/>
      <c r="F9" s="68"/>
      <c r="G9" s="68"/>
      <c r="H9" s="68"/>
      <c r="I9" s="70"/>
    </row>
    <row r="10" spans="1:9" x14ac:dyDescent="0.25">
      <c r="A10" s="79" t="s">
        <v>47</v>
      </c>
      <c r="B10" s="68"/>
      <c r="C10" s="72" t="str">
        <f>'Stavební rozpočet'!D8</f>
        <v xml:space="preserve"> </v>
      </c>
      <c r="D10" s="68"/>
      <c r="E10" s="72" t="s">
        <v>11</v>
      </c>
      <c r="F10" s="72" t="str">
        <f>'Stavební rozpočet'!J8</f>
        <v> </v>
      </c>
      <c r="G10" s="68"/>
      <c r="H10" s="68" t="s">
        <v>48</v>
      </c>
      <c r="I10" s="71">
        <f>'Stavební rozpočet'!H8</f>
        <v>0</v>
      </c>
    </row>
    <row r="11" spans="1:9" x14ac:dyDescent="0.25">
      <c r="A11" s="118"/>
      <c r="B11" s="75"/>
      <c r="C11" s="75"/>
      <c r="D11" s="75"/>
      <c r="E11" s="75"/>
      <c r="F11" s="75"/>
      <c r="G11" s="75"/>
      <c r="H11" s="75"/>
      <c r="I11" s="114"/>
    </row>
    <row r="13" spans="1:9" ht="15.75" x14ac:dyDescent="0.25">
      <c r="A13" s="132" t="s">
        <v>92</v>
      </c>
      <c r="B13" s="132"/>
      <c r="C13" s="132"/>
      <c r="D13" s="132"/>
      <c r="E13" s="132"/>
    </row>
    <row r="14" spans="1:9" x14ac:dyDescent="0.25">
      <c r="A14" s="133" t="s">
        <v>93</v>
      </c>
      <c r="B14" s="134"/>
      <c r="C14" s="134"/>
      <c r="D14" s="134"/>
      <c r="E14" s="135"/>
      <c r="F14" s="25" t="s">
        <v>94</v>
      </c>
      <c r="G14" s="25" t="s">
        <v>95</v>
      </c>
      <c r="H14" s="25" t="s">
        <v>96</v>
      </c>
      <c r="I14" s="25" t="s">
        <v>94</v>
      </c>
    </row>
    <row r="15" spans="1:9" x14ac:dyDescent="0.25">
      <c r="A15" s="139" t="s">
        <v>58</v>
      </c>
      <c r="B15" s="140"/>
      <c r="C15" s="140"/>
      <c r="D15" s="140"/>
      <c r="E15" s="141"/>
      <c r="F15" s="26">
        <v>0</v>
      </c>
      <c r="G15" s="27" t="s">
        <v>17</v>
      </c>
      <c r="H15" s="27" t="s">
        <v>17</v>
      </c>
      <c r="I15" s="26">
        <f>F15</f>
        <v>0</v>
      </c>
    </row>
    <row r="16" spans="1:9" x14ac:dyDescent="0.25">
      <c r="A16" s="139" t="s">
        <v>61</v>
      </c>
      <c r="B16" s="140"/>
      <c r="C16" s="140"/>
      <c r="D16" s="140"/>
      <c r="E16" s="141"/>
      <c r="F16" s="26">
        <v>0</v>
      </c>
      <c r="G16" s="27" t="s">
        <v>17</v>
      </c>
      <c r="H16" s="27" t="s">
        <v>17</v>
      </c>
      <c r="I16" s="26">
        <f>F16</f>
        <v>0</v>
      </c>
    </row>
    <row r="17" spans="1:9" x14ac:dyDescent="0.25">
      <c r="A17" s="136" t="s">
        <v>64</v>
      </c>
      <c r="B17" s="137"/>
      <c r="C17" s="137"/>
      <c r="D17" s="137"/>
      <c r="E17" s="138"/>
      <c r="F17" s="28">
        <v>0</v>
      </c>
      <c r="G17" s="29" t="s">
        <v>17</v>
      </c>
      <c r="H17" s="29" t="s">
        <v>17</v>
      </c>
      <c r="I17" s="28">
        <f>F17</f>
        <v>0</v>
      </c>
    </row>
    <row r="18" spans="1:9" x14ac:dyDescent="0.25">
      <c r="A18" s="123" t="s">
        <v>97</v>
      </c>
      <c r="B18" s="124"/>
      <c r="C18" s="124"/>
      <c r="D18" s="124"/>
      <c r="E18" s="125"/>
      <c r="F18" s="30" t="s">
        <v>17</v>
      </c>
      <c r="G18" s="31" t="s">
        <v>17</v>
      </c>
      <c r="H18" s="31" t="s">
        <v>17</v>
      </c>
      <c r="I18" s="32">
        <f>SUM(I15:I17)</f>
        <v>0</v>
      </c>
    </row>
    <row r="20" spans="1:9" x14ac:dyDescent="0.25">
      <c r="A20" s="133" t="s">
        <v>55</v>
      </c>
      <c r="B20" s="134"/>
      <c r="C20" s="134"/>
      <c r="D20" s="134"/>
      <c r="E20" s="135"/>
      <c r="F20" s="25" t="s">
        <v>94</v>
      </c>
      <c r="G20" s="25" t="s">
        <v>95</v>
      </c>
      <c r="H20" s="25" t="s">
        <v>96</v>
      </c>
      <c r="I20" s="25" t="s">
        <v>94</v>
      </c>
    </row>
    <row r="21" spans="1:9" x14ac:dyDescent="0.25">
      <c r="A21" s="139" t="s">
        <v>59</v>
      </c>
      <c r="B21" s="140"/>
      <c r="C21" s="140"/>
      <c r="D21" s="140"/>
      <c r="E21" s="141"/>
      <c r="F21" s="26">
        <v>0</v>
      </c>
      <c r="G21" s="27" t="s">
        <v>17</v>
      </c>
      <c r="H21" s="27" t="s">
        <v>17</v>
      </c>
      <c r="I21" s="26">
        <f t="shared" ref="I21:I26" si="0">F21</f>
        <v>0</v>
      </c>
    </row>
    <row r="22" spans="1:9" x14ac:dyDescent="0.25">
      <c r="A22" s="139" t="s">
        <v>62</v>
      </c>
      <c r="B22" s="140"/>
      <c r="C22" s="140"/>
      <c r="D22" s="140"/>
      <c r="E22" s="141"/>
      <c r="F22" s="26">
        <v>0</v>
      </c>
      <c r="G22" s="27" t="s">
        <v>17</v>
      </c>
      <c r="H22" s="27" t="s">
        <v>17</v>
      </c>
      <c r="I22" s="26">
        <f t="shared" si="0"/>
        <v>0</v>
      </c>
    </row>
    <row r="23" spans="1:9" x14ac:dyDescent="0.25">
      <c r="A23" s="139" t="s">
        <v>65</v>
      </c>
      <c r="B23" s="140"/>
      <c r="C23" s="140"/>
      <c r="D23" s="140"/>
      <c r="E23" s="141"/>
      <c r="F23" s="26">
        <v>0</v>
      </c>
      <c r="G23" s="27" t="s">
        <v>17</v>
      </c>
      <c r="H23" s="27" t="s">
        <v>17</v>
      </c>
      <c r="I23" s="26">
        <f t="shared" si="0"/>
        <v>0</v>
      </c>
    </row>
    <row r="24" spans="1:9" x14ac:dyDescent="0.25">
      <c r="A24" s="139" t="s">
        <v>66</v>
      </c>
      <c r="B24" s="140"/>
      <c r="C24" s="140"/>
      <c r="D24" s="140"/>
      <c r="E24" s="141"/>
      <c r="F24" s="26">
        <v>0</v>
      </c>
      <c r="G24" s="27" t="s">
        <v>17</v>
      </c>
      <c r="H24" s="27" t="s">
        <v>17</v>
      </c>
      <c r="I24" s="26">
        <f t="shared" si="0"/>
        <v>0</v>
      </c>
    </row>
    <row r="25" spans="1:9" x14ac:dyDescent="0.25">
      <c r="A25" s="139" t="s">
        <v>68</v>
      </c>
      <c r="B25" s="140"/>
      <c r="C25" s="140"/>
      <c r="D25" s="140"/>
      <c r="E25" s="141"/>
      <c r="F25" s="26">
        <v>0</v>
      </c>
      <c r="G25" s="27" t="s">
        <v>17</v>
      </c>
      <c r="H25" s="27" t="s">
        <v>17</v>
      </c>
      <c r="I25" s="26">
        <f t="shared" si="0"/>
        <v>0</v>
      </c>
    </row>
    <row r="26" spans="1:9" x14ac:dyDescent="0.25">
      <c r="A26" s="136" t="s">
        <v>69</v>
      </c>
      <c r="B26" s="137"/>
      <c r="C26" s="137"/>
      <c r="D26" s="137"/>
      <c r="E26" s="138"/>
      <c r="F26" s="28">
        <v>0</v>
      </c>
      <c r="G26" s="29" t="s">
        <v>17</v>
      </c>
      <c r="H26" s="29" t="s">
        <v>17</v>
      </c>
      <c r="I26" s="28">
        <f t="shared" si="0"/>
        <v>0</v>
      </c>
    </row>
    <row r="27" spans="1:9" x14ac:dyDescent="0.25">
      <c r="A27" s="123" t="s">
        <v>98</v>
      </c>
      <c r="B27" s="124"/>
      <c r="C27" s="124"/>
      <c r="D27" s="124"/>
      <c r="E27" s="125"/>
      <c r="F27" s="30" t="s">
        <v>17</v>
      </c>
      <c r="G27" s="31" t="s">
        <v>17</v>
      </c>
      <c r="H27" s="31" t="s">
        <v>17</v>
      </c>
      <c r="I27" s="32">
        <f>SUM(I21:I26)</f>
        <v>0</v>
      </c>
    </row>
    <row r="29" spans="1:9" ht="15.75" x14ac:dyDescent="0.25">
      <c r="A29" s="126" t="s">
        <v>99</v>
      </c>
      <c r="B29" s="127"/>
      <c r="C29" s="127"/>
      <c r="D29" s="127"/>
      <c r="E29" s="128"/>
      <c r="F29" s="129">
        <f>I18+I27</f>
        <v>0</v>
      </c>
      <c r="G29" s="130"/>
      <c r="H29" s="130"/>
      <c r="I29" s="131"/>
    </row>
    <row r="33" spans="1:9" ht="15.75" x14ac:dyDescent="0.25">
      <c r="A33" s="132" t="s">
        <v>100</v>
      </c>
      <c r="B33" s="132"/>
      <c r="C33" s="132"/>
      <c r="D33" s="132"/>
      <c r="E33" s="132"/>
    </row>
    <row r="34" spans="1:9" x14ac:dyDescent="0.25">
      <c r="A34" s="133" t="s">
        <v>101</v>
      </c>
      <c r="B34" s="134"/>
      <c r="C34" s="134"/>
      <c r="D34" s="134"/>
      <c r="E34" s="135"/>
      <c r="F34" s="25" t="s">
        <v>94</v>
      </c>
      <c r="G34" s="25" t="s">
        <v>95</v>
      </c>
      <c r="H34" s="25" t="s">
        <v>96</v>
      </c>
      <c r="I34" s="25" t="s">
        <v>94</v>
      </c>
    </row>
    <row r="35" spans="1:9" x14ac:dyDescent="0.25">
      <c r="A35" s="136" t="s">
        <v>17</v>
      </c>
      <c r="B35" s="137"/>
      <c r="C35" s="137"/>
      <c r="D35" s="137"/>
      <c r="E35" s="138"/>
      <c r="F35" s="28">
        <v>0</v>
      </c>
      <c r="G35" s="29" t="s">
        <v>17</v>
      </c>
      <c r="H35" s="29" t="s">
        <v>17</v>
      </c>
      <c r="I35" s="28">
        <f>F35</f>
        <v>0</v>
      </c>
    </row>
    <row r="36" spans="1:9" x14ac:dyDescent="0.25">
      <c r="A36" s="123" t="s">
        <v>102</v>
      </c>
      <c r="B36" s="124"/>
      <c r="C36" s="124"/>
      <c r="D36" s="124"/>
      <c r="E36" s="125"/>
      <c r="F36" s="30" t="s">
        <v>17</v>
      </c>
      <c r="G36" s="31" t="s">
        <v>17</v>
      </c>
      <c r="H36" s="31" t="s">
        <v>17</v>
      </c>
      <c r="I36" s="32">
        <f>SUM(I35:I35)</f>
        <v>0</v>
      </c>
    </row>
  </sheetData>
  <mergeCells count="51"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  <mergeCell ref="E8:E9"/>
    <mergeCell ref="E10:E11"/>
    <mergeCell ref="F2:G3"/>
    <mergeCell ref="F4:G5"/>
    <mergeCell ref="F6:G7"/>
    <mergeCell ref="F8:G9"/>
    <mergeCell ref="F10:G11"/>
    <mergeCell ref="C2:D3"/>
    <mergeCell ref="C4:D5"/>
    <mergeCell ref="C6:D7"/>
    <mergeCell ref="C8:D9"/>
    <mergeCell ref="C10:D11"/>
    <mergeCell ref="I10:I11"/>
    <mergeCell ref="A13:E13"/>
    <mergeCell ref="A14:E14"/>
    <mergeCell ref="A15:E15"/>
    <mergeCell ref="A16:E16"/>
    <mergeCell ref="H10:H11"/>
    <mergeCell ref="A10:B11"/>
    <mergeCell ref="A17:E17"/>
    <mergeCell ref="A18:E18"/>
    <mergeCell ref="A20:E20"/>
    <mergeCell ref="A21:E21"/>
    <mergeCell ref="A22:E22"/>
    <mergeCell ref="A23:E23"/>
    <mergeCell ref="A24:E24"/>
    <mergeCell ref="A25:E25"/>
    <mergeCell ref="A26:E26"/>
    <mergeCell ref="A27:E27"/>
    <mergeCell ref="A36:E36"/>
    <mergeCell ref="A29:E29"/>
    <mergeCell ref="F29:I29"/>
    <mergeCell ref="A33:E33"/>
    <mergeCell ref="A34:E34"/>
    <mergeCell ref="A35:E35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118"/>
  <sheetViews>
    <sheetView tabSelected="1" workbookViewId="0">
      <pane ySplit="11" topLeftCell="A109" activePane="bottomLeft" state="frozen"/>
      <selection pane="bottomLeft" activeCell="I113" sqref="I113"/>
    </sheetView>
  </sheetViews>
  <sheetFormatPr defaultColWidth="12.140625" defaultRowHeight="15" customHeight="1" x14ac:dyDescent="0.25"/>
  <cols>
    <col min="1" max="1" width="3.140625" style="163" customWidth="1"/>
    <col min="2" max="2" width="7.5703125" style="163" customWidth="1"/>
    <col min="3" max="3" width="17.85546875" style="163" customWidth="1"/>
    <col min="4" max="4" width="36.7109375" style="163" customWidth="1"/>
    <col min="5" max="5" width="32.7109375" style="163" customWidth="1"/>
    <col min="6" max="6" width="4.28515625" style="163" customWidth="1"/>
    <col min="7" max="7" width="12.85546875" style="163" customWidth="1"/>
    <col min="8" max="8" width="12" style="163" customWidth="1"/>
    <col min="9" max="9" width="15.7109375" style="163" customWidth="1"/>
    <col min="10" max="24" width="12.140625" style="163"/>
    <col min="25" max="75" width="12.140625" style="163" hidden="1"/>
    <col min="76" max="76" width="138.5703125" style="163" hidden="1" customWidth="1"/>
    <col min="77" max="78" width="12.140625" style="163" hidden="1"/>
    <col min="79" max="16384" width="12.140625" style="163"/>
  </cols>
  <sheetData>
    <row r="1" spans="1:76" ht="54.75" customHeight="1" x14ac:dyDescent="0.25">
      <c r="A1" s="76" t="s">
        <v>103</v>
      </c>
      <c r="B1" s="76"/>
      <c r="C1" s="76"/>
      <c r="D1" s="76"/>
      <c r="E1" s="76"/>
      <c r="F1" s="76"/>
      <c r="G1" s="76"/>
      <c r="H1" s="76"/>
      <c r="I1" s="76"/>
      <c r="J1" s="76"/>
      <c r="K1" s="76"/>
      <c r="AS1" s="33">
        <f>SUM(AJ1:AJ2)</f>
        <v>0</v>
      </c>
      <c r="AT1" s="33">
        <f>SUM(AK1:AK2)</f>
        <v>0</v>
      </c>
      <c r="AU1" s="33">
        <f>SUM(AL1:AL2)</f>
        <v>0</v>
      </c>
    </row>
    <row r="2" spans="1:76" x14ac:dyDescent="0.25">
      <c r="A2" s="77" t="s">
        <v>1</v>
      </c>
      <c r="B2" s="74"/>
      <c r="C2" s="74"/>
      <c r="D2" s="82" t="s">
        <v>104</v>
      </c>
      <c r="E2" s="119"/>
      <c r="F2" s="74" t="s">
        <v>2</v>
      </c>
      <c r="G2" s="74"/>
      <c r="H2" s="74" t="s">
        <v>3</v>
      </c>
      <c r="I2" s="81" t="s">
        <v>4</v>
      </c>
      <c r="J2" s="74" t="s">
        <v>105</v>
      </c>
      <c r="K2" s="121"/>
    </row>
    <row r="3" spans="1:76" x14ac:dyDescent="0.25">
      <c r="A3" s="78"/>
      <c r="B3" s="68"/>
      <c r="C3" s="68"/>
      <c r="D3" s="83"/>
      <c r="E3" s="83"/>
      <c r="F3" s="68"/>
      <c r="G3" s="68"/>
      <c r="H3" s="68"/>
      <c r="I3" s="68"/>
      <c r="J3" s="68"/>
      <c r="K3" s="70"/>
    </row>
    <row r="4" spans="1:76" x14ac:dyDescent="0.25">
      <c r="A4" s="79" t="s">
        <v>5</v>
      </c>
      <c r="B4" s="68"/>
      <c r="C4" s="68"/>
      <c r="D4" s="72" t="s">
        <v>3</v>
      </c>
      <c r="E4" s="68"/>
      <c r="F4" s="68" t="s">
        <v>6</v>
      </c>
      <c r="G4" s="68"/>
      <c r="H4" s="68"/>
      <c r="I4" s="72" t="s">
        <v>7</v>
      </c>
      <c r="J4" s="68" t="s">
        <v>105</v>
      </c>
      <c r="K4" s="70"/>
    </row>
    <row r="5" spans="1:76" x14ac:dyDescent="0.25">
      <c r="A5" s="78"/>
      <c r="B5" s="68"/>
      <c r="C5" s="68"/>
      <c r="D5" s="68"/>
      <c r="E5" s="68"/>
      <c r="F5" s="68"/>
      <c r="G5" s="68"/>
      <c r="H5" s="68"/>
      <c r="I5" s="68"/>
      <c r="J5" s="68"/>
      <c r="K5" s="70"/>
    </row>
    <row r="6" spans="1:76" x14ac:dyDescent="0.25">
      <c r="A6" s="79" t="s">
        <v>8</v>
      </c>
      <c r="B6" s="68"/>
      <c r="C6" s="68"/>
      <c r="D6" s="72" t="s">
        <v>3</v>
      </c>
      <c r="E6" s="68"/>
      <c r="F6" s="68" t="s">
        <v>9</v>
      </c>
      <c r="G6" s="68"/>
      <c r="H6" s="68" t="s">
        <v>3</v>
      </c>
      <c r="I6" s="72" t="s">
        <v>10</v>
      </c>
      <c r="J6" s="157" t="s">
        <v>105</v>
      </c>
      <c r="K6" s="161"/>
    </row>
    <row r="7" spans="1:76" x14ac:dyDescent="0.25">
      <c r="A7" s="78"/>
      <c r="B7" s="68"/>
      <c r="C7" s="68"/>
      <c r="D7" s="68"/>
      <c r="E7" s="68"/>
      <c r="F7" s="68"/>
      <c r="G7" s="68"/>
      <c r="H7" s="68"/>
      <c r="I7" s="68"/>
      <c r="J7" s="157"/>
      <c r="K7" s="161"/>
    </row>
    <row r="8" spans="1:76" x14ac:dyDescent="0.25">
      <c r="A8" s="79" t="s">
        <v>47</v>
      </c>
      <c r="B8" s="68"/>
      <c r="C8" s="68"/>
      <c r="D8" s="72" t="s">
        <v>3</v>
      </c>
      <c r="E8" s="68"/>
      <c r="F8" s="68" t="s">
        <v>12</v>
      </c>
      <c r="G8" s="68"/>
      <c r="H8" s="157"/>
      <c r="I8" s="72" t="s">
        <v>11</v>
      </c>
      <c r="J8" s="157" t="s">
        <v>105</v>
      </c>
      <c r="K8" s="161"/>
    </row>
    <row r="9" spans="1:76" x14ac:dyDescent="0.25">
      <c r="A9" s="80"/>
      <c r="B9" s="73"/>
      <c r="C9" s="73"/>
      <c r="D9" s="73"/>
      <c r="E9" s="73"/>
      <c r="F9" s="73"/>
      <c r="G9" s="73"/>
      <c r="H9" s="164"/>
      <c r="I9" s="73"/>
      <c r="J9" s="158"/>
      <c r="K9" s="160"/>
    </row>
    <row r="10" spans="1:76" x14ac:dyDescent="0.25">
      <c r="A10" s="34" t="s">
        <v>106</v>
      </c>
      <c r="B10" s="35" t="s">
        <v>13</v>
      </c>
      <c r="C10" s="35" t="s">
        <v>14</v>
      </c>
      <c r="D10" s="154" t="s">
        <v>15</v>
      </c>
      <c r="E10" s="155"/>
      <c r="F10" s="35" t="s">
        <v>107</v>
      </c>
      <c r="G10" s="36" t="s">
        <v>108</v>
      </c>
      <c r="H10" s="37" t="s">
        <v>109</v>
      </c>
      <c r="I10" s="38" t="s">
        <v>110</v>
      </c>
      <c r="K10" s="39"/>
      <c r="BK10" s="40" t="s">
        <v>111</v>
      </c>
      <c r="BL10" s="41" t="s">
        <v>112</v>
      </c>
      <c r="BW10" s="41" t="s">
        <v>113</v>
      </c>
    </row>
    <row r="11" spans="1:76" x14ac:dyDescent="0.25">
      <c r="A11" s="42" t="s">
        <v>3</v>
      </c>
      <c r="B11" s="43" t="s">
        <v>3</v>
      </c>
      <c r="C11" s="43" t="s">
        <v>3</v>
      </c>
      <c r="D11" s="150" t="s">
        <v>114</v>
      </c>
      <c r="E11" s="151"/>
      <c r="F11" s="43" t="s">
        <v>3</v>
      </c>
      <c r="G11" s="43" t="s">
        <v>3</v>
      </c>
      <c r="H11" s="44" t="s">
        <v>115</v>
      </c>
      <c r="I11" s="45" t="s">
        <v>116</v>
      </c>
      <c r="K11" s="46"/>
      <c r="Z11" s="40" t="s">
        <v>117</v>
      </c>
      <c r="AA11" s="40" t="s">
        <v>118</v>
      </c>
      <c r="AB11" s="40" t="s">
        <v>119</v>
      </c>
      <c r="AC11" s="40" t="s">
        <v>120</v>
      </c>
      <c r="AD11" s="40" t="s">
        <v>121</v>
      </c>
      <c r="AE11" s="40" t="s">
        <v>122</v>
      </c>
      <c r="AF11" s="40" t="s">
        <v>123</v>
      </c>
      <c r="AG11" s="40" t="s">
        <v>124</v>
      </c>
      <c r="AH11" s="40" t="s">
        <v>125</v>
      </c>
      <c r="BH11" s="40" t="s">
        <v>126</v>
      </c>
      <c r="BI11" s="40" t="s">
        <v>127</v>
      </c>
      <c r="BJ11" s="40" t="s">
        <v>128</v>
      </c>
    </row>
    <row r="12" spans="1:76" x14ac:dyDescent="0.25">
      <c r="A12" s="47" t="s">
        <v>17</v>
      </c>
      <c r="B12" s="64" t="s">
        <v>17</v>
      </c>
      <c r="C12" s="64" t="s">
        <v>18</v>
      </c>
      <c r="D12" s="152" t="s">
        <v>19</v>
      </c>
      <c r="E12" s="153"/>
      <c r="F12" s="48" t="s">
        <v>3</v>
      </c>
      <c r="G12" s="48" t="s">
        <v>3</v>
      </c>
      <c r="H12" s="48" t="s">
        <v>3</v>
      </c>
      <c r="I12" s="49">
        <f>SUM(I13:I18)</f>
        <v>0</v>
      </c>
      <c r="K12" s="46"/>
      <c r="AI12" s="40" t="s">
        <v>17</v>
      </c>
      <c r="AS12" s="33">
        <f>SUM(AJ13:AJ18)</f>
        <v>0</v>
      </c>
      <c r="AT12" s="33">
        <f>SUM(AK13:AK18)</f>
        <v>0</v>
      </c>
      <c r="AU12" s="33">
        <f>SUM(AL13:AL18)</f>
        <v>0</v>
      </c>
    </row>
    <row r="13" spans="1:76" x14ac:dyDescent="0.25">
      <c r="A13" s="60" t="s">
        <v>129</v>
      </c>
      <c r="B13" s="61" t="s">
        <v>17</v>
      </c>
      <c r="C13" s="61" t="s">
        <v>130</v>
      </c>
      <c r="D13" s="72" t="s">
        <v>131</v>
      </c>
      <c r="E13" s="68"/>
      <c r="F13" s="61" t="s">
        <v>132</v>
      </c>
      <c r="G13" s="9">
        <v>1</v>
      </c>
      <c r="H13" s="165">
        <v>0</v>
      </c>
      <c r="I13" s="9">
        <f t="shared" ref="I13:I18" si="0">G13*H13</f>
        <v>0</v>
      </c>
      <c r="K13" s="46"/>
      <c r="Z13" s="9">
        <f t="shared" ref="Z13:Z18" si="1">IF(AQ13="5",BJ13,0)</f>
        <v>0</v>
      </c>
      <c r="AB13" s="9">
        <f t="shared" ref="AB13:AB18" si="2">IF(AQ13="1",BH13,0)</f>
        <v>0</v>
      </c>
      <c r="AC13" s="9">
        <f t="shared" ref="AC13:AC18" si="3">IF(AQ13="1",BI13,0)</f>
        <v>0</v>
      </c>
      <c r="AD13" s="9">
        <f t="shared" ref="AD13:AD18" si="4">IF(AQ13="7",BH13,0)</f>
        <v>0</v>
      </c>
      <c r="AE13" s="9">
        <f t="shared" ref="AE13:AE18" si="5">IF(AQ13="7",BI13,0)</f>
        <v>0</v>
      </c>
      <c r="AF13" s="9">
        <f t="shared" ref="AF13:AF18" si="6">IF(AQ13="2",BH13,0)</f>
        <v>0</v>
      </c>
      <c r="AG13" s="9">
        <f t="shared" ref="AG13:AG18" si="7">IF(AQ13="2",BI13,0)</f>
        <v>0</v>
      </c>
      <c r="AH13" s="9">
        <f t="shared" ref="AH13:AH18" si="8">IF(AQ13="0",BJ13,0)</f>
        <v>0</v>
      </c>
      <c r="AI13" s="40" t="s">
        <v>17</v>
      </c>
      <c r="AJ13" s="9">
        <f t="shared" ref="AJ13:AJ18" si="9">IF(AN13=0,I13,0)</f>
        <v>0</v>
      </c>
      <c r="AK13" s="9">
        <f t="shared" ref="AK13:AK18" si="10">IF(AN13=12,I13,0)</f>
        <v>0</v>
      </c>
      <c r="AL13" s="9">
        <f t="shared" ref="AL13:AL18" si="11">IF(AN13=21,I13,0)</f>
        <v>0</v>
      </c>
      <c r="AN13" s="9">
        <v>21</v>
      </c>
      <c r="AO13" s="9">
        <f t="shared" ref="AO13:AO18" si="12">H13*0</f>
        <v>0</v>
      </c>
      <c r="AP13" s="9">
        <f t="shared" ref="AP13:AP18" si="13">H13*(1-0)</f>
        <v>0</v>
      </c>
      <c r="AQ13" s="8" t="s">
        <v>129</v>
      </c>
      <c r="AV13" s="9">
        <f t="shared" ref="AV13:AV18" si="14">AW13+AX13</f>
        <v>0</v>
      </c>
      <c r="AW13" s="9">
        <f t="shared" ref="AW13:AW18" si="15">G13*AO13</f>
        <v>0</v>
      </c>
      <c r="AX13" s="9">
        <f t="shared" ref="AX13:AX18" si="16">G13*AP13</f>
        <v>0</v>
      </c>
      <c r="AY13" s="8" t="s">
        <v>133</v>
      </c>
      <c r="AZ13" s="8" t="s">
        <v>134</v>
      </c>
      <c r="BA13" s="40" t="s">
        <v>135</v>
      </c>
      <c r="BC13" s="9">
        <f t="shared" ref="BC13:BC18" si="17">AW13+AX13</f>
        <v>0</v>
      </c>
      <c r="BD13" s="9">
        <f t="shared" ref="BD13:BD18" si="18">H13/(100-BE13)*100</f>
        <v>0</v>
      </c>
      <c r="BE13" s="9">
        <v>0</v>
      </c>
      <c r="BF13" s="9">
        <f>13</f>
        <v>13</v>
      </c>
      <c r="BH13" s="9">
        <f t="shared" ref="BH13:BH18" si="19">G13*AO13</f>
        <v>0</v>
      </c>
      <c r="BI13" s="9">
        <f t="shared" ref="BI13:BI18" si="20">G13*AP13</f>
        <v>0</v>
      </c>
      <c r="BJ13" s="9">
        <f t="shared" ref="BJ13:BJ18" si="21">G13*H13</f>
        <v>0</v>
      </c>
      <c r="BK13" s="9"/>
      <c r="BL13" s="9">
        <v>0</v>
      </c>
      <c r="BW13" s="9">
        <v>21</v>
      </c>
      <c r="BX13" s="62" t="s">
        <v>131</v>
      </c>
    </row>
    <row r="14" spans="1:76" x14ac:dyDescent="0.25">
      <c r="A14" s="60" t="s">
        <v>136</v>
      </c>
      <c r="B14" s="61" t="s">
        <v>17</v>
      </c>
      <c r="C14" s="61" t="s">
        <v>137</v>
      </c>
      <c r="D14" s="72" t="s">
        <v>138</v>
      </c>
      <c r="E14" s="68"/>
      <c r="F14" s="61" t="s">
        <v>132</v>
      </c>
      <c r="G14" s="9">
        <v>1</v>
      </c>
      <c r="H14" s="165">
        <v>0</v>
      </c>
      <c r="I14" s="9">
        <f t="shared" si="0"/>
        <v>0</v>
      </c>
      <c r="K14" s="46"/>
      <c r="Z14" s="9">
        <f t="shared" si="1"/>
        <v>0</v>
      </c>
      <c r="AB14" s="9">
        <f t="shared" si="2"/>
        <v>0</v>
      </c>
      <c r="AC14" s="9">
        <f t="shared" si="3"/>
        <v>0</v>
      </c>
      <c r="AD14" s="9">
        <f t="shared" si="4"/>
        <v>0</v>
      </c>
      <c r="AE14" s="9">
        <f t="shared" si="5"/>
        <v>0</v>
      </c>
      <c r="AF14" s="9">
        <f t="shared" si="6"/>
        <v>0</v>
      </c>
      <c r="AG14" s="9">
        <f t="shared" si="7"/>
        <v>0</v>
      </c>
      <c r="AH14" s="9">
        <f t="shared" si="8"/>
        <v>0</v>
      </c>
      <c r="AI14" s="40" t="s">
        <v>17</v>
      </c>
      <c r="AJ14" s="9">
        <f t="shared" si="9"/>
        <v>0</v>
      </c>
      <c r="AK14" s="9">
        <f t="shared" si="10"/>
        <v>0</v>
      </c>
      <c r="AL14" s="9">
        <f t="shared" si="11"/>
        <v>0</v>
      </c>
      <c r="AN14" s="9">
        <v>21</v>
      </c>
      <c r="AO14" s="9">
        <f t="shared" si="12"/>
        <v>0</v>
      </c>
      <c r="AP14" s="9">
        <f t="shared" si="13"/>
        <v>0</v>
      </c>
      <c r="AQ14" s="8" t="s">
        <v>129</v>
      </c>
      <c r="AV14" s="9">
        <f t="shared" si="14"/>
        <v>0</v>
      </c>
      <c r="AW14" s="9">
        <f t="shared" si="15"/>
        <v>0</v>
      </c>
      <c r="AX14" s="9">
        <f t="shared" si="16"/>
        <v>0</v>
      </c>
      <c r="AY14" s="8" t="s">
        <v>133</v>
      </c>
      <c r="AZ14" s="8" t="s">
        <v>134</v>
      </c>
      <c r="BA14" s="40" t="s">
        <v>135</v>
      </c>
      <c r="BC14" s="9">
        <f t="shared" si="17"/>
        <v>0</v>
      </c>
      <c r="BD14" s="9">
        <f t="shared" si="18"/>
        <v>0</v>
      </c>
      <c r="BE14" s="9">
        <v>0</v>
      </c>
      <c r="BF14" s="9">
        <f>14</f>
        <v>14</v>
      </c>
      <c r="BH14" s="9">
        <f t="shared" si="19"/>
        <v>0</v>
      </c>
      <c r="BI14" s="9">
        <f t="shared" si="20"/>
        <v>0</v>
      </c>
      <c r="BJ14" s="9">
        <f t="shared" si="21"/>
        <v>0</v>
      </c>
      <c r="BK14" s="9"/>
      <c r="BL14" s="9">
        <v>0</v>
      </c>
      <c r="BW14" s="9">
        <v>21</v>
      </c>
      <c r="BX14" s="62" t="s">
        <v>138</v>
      </c>
    </row>
    <row r="15" spans="1:76" x14ac:dyDescent="0.25">
      <c r="A15" s="60" t="s">
        <v>139</v>
      </c>
      <c r="B15" s="61" t="s">
        <v>17</v>
      </c>
      <c r="C15" s="61" t="s">
        <v>140</v>
      </c>
      <c r="D15" s="72" t="s">
        <v>141</v>
      </c>
      <c r="E15" s="68"/>
      <c r="F15" s="61" t="s">
        <v>132</v>
      </c>
      <c r="G15" s="9">
        <v>1</v>
      </c>
      <c r="H15" s="165">
        <v>0</v>
      </c>
      <c r="I15" s="9">
        <f t="shared" si="0"/>
        <v>0</v>
      </c>
      <c r="K15" s="46"/>
      <c r="Z15" s="9">
        <f t="shared" si="1"/>
        <v>0</v>
      </c>
      <c r="AB15" s="9">
        <f t="shared" si="2"/>
        <v>0</v>
      </c>
      <c r="AC15" s="9">
        <f t="shared" si="3"/>
        <v>0</v>
      </c>
      <c r="AD15" s="9">
        <f t="shared" si="4"/>
        <v>0</v>
      </c>
      <c r="AE15" s="9">
        <f t="shared" si="5"/>
        <v>0</v>
      </c>
      <c r="AF15" s="9">
        <f t="shared" si="6"/>
        <v>0</v>
      </c>
      <c r="AG15" s="9">
        <f t="shared" si="7"/>
        <v>0</v>
      </c>
      <c r="AH15" s="9">
        <f t="shared" si="8"/>
        <v>0</v>
      </c>
      <c r="AI15" s="40" t="s">
        <v>17</v>
      </c>
      <c r="AJ15" s="9">
        <f t="shared" si="9"/>
        <v>0</v>
      </c>
      <c r="AK15" s="9">
        <f t="shared" si="10"/>
        <v>0</v>
      </c>
      <c r="AL15" s="9">
        <f t="shared" si="11"/>
        <v>0</v>
      </c>
      <c r="AN15" s="9">
        <v>21</v>
      </c>
      <c r="AO15" s="9">
        <f t="shared" si="12"/>
        <v>0</v>
      </c>
      <c r="AP15" s="9">
        <f t="shared" si="13"/>
        <v>0</v>
      </c>
      <c r="AQ15" s="8" t="s">
        <v>129</v>
      </c>
      <c r="AV15" s="9">
        <f t="shared" si="14"/>
        <v>0</v>
      </c>
      <c r="AW15" s="9">
        <f t="shared" si="15"/>
        <v>0</v>
      </c>
      <c r="AX15" s="9">
        <f t="shared" si="16"/>
        <v>0</v>
      </c>
      <c r="AY15" s="8" t="s">
        <v>133</v>
      </c>
      <c r="AZ15" s="8" t="s">
        <v>134</v>
      </c>
      <c r="BA15" s="40" t="s">
        <v>135</v>
      </c>
      <c r="BC15" s="9">
        <f t="shared" si="17"/>
        <v>0</v>
      </c>
      <c r="BD15" s="9">
        <f t="shared" si="18"/>
        <v>0</v>
      </c>
      <c r="BE15" s="9">
        <v>0</v>
      </c>
      <c r="BF15" s="9">
        <f>15</f>
        <v>15</v>
      </c>
      <c r="BH15" s="9">
        <f t="shared" si="19"/>
        <v>0</v>
      </c>
      <c r="BI15" s="9">
        <f t="shared" si="20"/>
        <v>0</v>
      </c>
      <c r="BJ15" s="9">
        <f t="shared" si="21"/>
        <v>0</v>
      </c>
      <c r="BK15" s="9"/>
      <c r="BL15" s="9">
        <v>0</v>
      </c>
      <c r="BW15" s="9">
        <v>21</v>
      </c>
      <c r="BX15" s="62" t="s">
        <v>141</v>
      </c>
    </row>
    <row r="16" spans="1:76" x14ac:dyDescent="0.25">
      <c r="A16" s="60" t="s">
        <v>142</v>
      </c>
      <c r="B16" s="61" t="s">
        <v>17</v>
      </c>
      <c r="C16" s="61" t="s">
        <v>143</v>
      </c>
      <c r="D16" s="72" t="s">
        <v>144</v>
      </c>
      <c r="E16" s="68"/>
      <c r="F16" s="61" t="s">
        <v>145</v>
      </c>
      <c r="G16" s="9">
        <v>2</v>
      </c>
      <c r="H16" s="165">
        <v>0</v>
      </c>
      <c r="I16" s="9">
        <f t="shared" si="0"/>
        <v>0</v>
      </c>
      <c r="K16" s="46"/>
      <c r="Z16" s="9">
        <f t="shared" si="1"/>
        <v>0</v>
      </c>
      <c r="AB16" s="9">
        <f t="shared" si="2"/>
        <v>0</v>
      </c>
      <c r="AC16" s="9">
        <f t="shared" si="3"/>
        <v>0</v>
      </c>
      <c r="AD16" s="9">
        <f t="shared" si="4"/>
        <v>0</v>
      </c>
      <c r="AE16" s="9">
        <f t="shared" si="5"/>
        <v>0</v>
      </c>
      <c r="AF16" s="9">
        <f t="shared" si="6"/>
        <v>0</v>
      </c>
      <c r="AG16" s="9">
        <f t="shared" si="7"/>
        <v>0</v>
      </c>
      <c r="AH16" s="9">
        <f t="shared" si="8"/>
        <v>0</v>
      </c>
      <c r="AI16" s="40" t="s">
        <v>17</v>
      </c>
      <c r="AJ16" s="9">
        <f t="shared" si="9"/>
        <v>0</v>
      </c>
      <c r="AK16" s="9">
        <f t="shared" si="10"/>
        <v>0</v>
      </c>
      <c r="AL16" s="9">
        <f t="shared" si="11"/>
        <v>0</v>
      </c>
      <c r="AN16" s="9">
        <v>21</v>
      </c>
      <c r="AO16" s="9">
        <f t="shared" si="12"/>
        <v>0</v>
      </c>
      <c r="AP16" s="9">
        <f t="shared" si="13"/>
        <v>0</v>
      </c>
      <c r="AQ16" s="8" t="s">
        <v>129</v>
      </c>
      <c r="AV16" s="9">
        <f t="shared" si="14"/>
        <v>0</v>
      </c>
      <c r="AW16" s="9">
        <f t="shared" si="15"/>
        <v>0</v>
      </c>
      <c r="AX16" s="9">
        <f t="shared" si="16"/>
        <v>0</v>
      </c>
      <c r="AY16" s="8" t="s">
        <v>133</v>
      </c>
      <c r="AZ16" s="8" t="s">
        <v>134</v>
      </c>
      <c r="BA16" s="40" t="s">
        <v>135</v>
      </c>
      <c r="BC16" s="9">
        <f t="shared" si="17"/>
        <v>0</v>
      </c>
      <c r="BD16" s="9">
        <f t="shared" si="18"/>
        <v>0</v>
      </c>
      <c r="BE16" s="9">
        <v>0</v>
      </c>
      <c r="BF16" s="9">
        <f>16</f>
        <v>16</v>
      </c>
      <c r="BH16" s="9">
        <f t="shared" si="19"/>
        <v>0</v>
      </c>
      <c r="BI16" s="9">
        <f t="shared" si="20"/>
        <v>0</v>
      </c>
      <c r="BJ16" s="9">
        <f t="shared" si="21"/>
        <v>0</v>
      </c>
      <c r="BK16" s="9"/>
      <c r="BL16" s="9">
        <v>0</v>
      </c>
      <c r="BW16" s="9">
        <v>21</v>
      </c>
      <c r="BX16" s="62" t="s">
        <v>144</v>
      </c>
    </row>
    <row r="17" spans="1:76" x14ac:dyDescent="0.25">
      <c r="A17" s="60" t="s">
        <v>146</v>
      </c>
      <c r="B17" s="61" t="s">
        <v>17</v>
      </c>
      <c r="C17" s="61" t="s">
        <v>147</v>
      </c>
      <c r="D17" s="72" t="s">
        <v>148</v>
      </c>
      <c r="E17" s="68"/>
      <c r="F17" s="61" t="s">
        <v>132</v>
      </c>
      <c r="G17" s="9">
        <v>1</v>
      </c>
      <c r="H17" s="165">
        <v>0</v>
      </c>
      <c r="I17" s="9">
        <f t="shared" si="0"/>
        <v>0</v>
      </c>
      <c r="K17" s="46"/>
      <c r="Z17" s="9">
        <f t="shared" si="1"/>
        <v>0</v>
      </c>
      <c r="AB17" s="9">
        <f t="shared" si="2"/>
        <v>0</v>
      </c>
      <c r="AC17" s="9">
        <f t="shared" si="3"/>
        <v>0</v>
      </c>
      <c r="AD17" s="9">
        <f t="shared" si="4"/>
        <v>0</v>
      </c>
      <c r="AE17" s="9">
        <f t="shared" si="5"/>
        <v>0</v>
      </c>
      <c r="AF17" s="9">
        <f t="shared" si="6"/>
        <v>0</v>
      </c>
      <c r="AG17" s="9">
        <f t="shared" si="7"/>
        <v>0</v>
      </c>
      <c r="AH17" s="9">
        <f t="shared" si="8"/>
        <v>0</v>
      </c>
      <c r="AI17" s="40" t="s">
        <v>17</v>
      </c>
      <c r="AJ17" s="9">
        <f t="shared" si="9"/>
        <v>0</v>
      </c>
      <c r="AK17" s="9">
        <f t="shared" si="10"/>
        <v>0</v>
      </c>
      <c r="AL17" s="9">
        <f t="shared" si="11"/>
        <v>0</v>
      </c>
      <c r="AN17" s="9">
        <v>21</v>
      </c>
      <c r="AO17" s="9">
        <f t="shared" si="12"/>
        <v>0</v>
      </c>
      <c r="AP17" s="9">
        <f t="shared" si="13"/>
        <v>0</v>
      </c>
      <c r="AQ17" s="8" t="s">
        <v>129</v>
      </c>
      <c r="AV17" s="9">
        <f t="shared" si="14"/>
        <v>0</v>
      </c>
      <c r="AW17" s="9">
        <f t="shared" si="15"/>
        <v>0</v>
      </c>
      <c r="AX17" s="9">
        <f t="shared" si="16"/>
        <v>0</v>
      </c>
      <c r="AY17" s="8" t="s">
        <v>133</v>
      </c>
      <c r="AZ17" s="8" t="s">
        <v>134</v>
      </c>
      <c r="BA17" s="40" t="s">
        <v>135</v>
      </c>
      <c r="BC17" s="9">
        <f t="shared" si="17"/>
        <v>0</v>
      </c>
      <c r="BD17" s="9">
        <f t="shared" si="18"/>
        <v>0</v>
      </c>
      <c r="BE17" s="9">
        <v>0</v>
      </c>
      <c r="BF17" s="9">
        <f>17</f>
        <v>17</v>
      </c>
      <c r="BH17" s="9">
        <f t="shared" si="19"/>
        <v>0</v>
      </c>
      <c r="BI17" s="9">
        <f t="shared" si="20"/>
        <v>0</v>
      </c>
      <c r="BJ17" s="9">
        <f t="shared" si="21"/>
        <v>0</v>
      </c>
      <c r="BK17" s="9"/>
      <c r="BL17" s="9">
        <v>0</v>
      </c>
      <c r="BW17" s="9">
        <v>21</v>
      </c>
      <c r="BX17" s="62" t="s">
        <v>148</v>
      </c>
    </row>
    <row r="18" spans="1:76" x14ac:dyDescent="0.25">
      <c r="A18" s="60" t="s">
        <v>149</v>
      </c>
      <c r="B18" s="61" t="s">
        <v>17</v>
      </c>
      <c r="C18" s="61" t="s">
        <v>150</v>
      </c>
      <c r="D18" s="72" t="s">
        <v>151</v>
      </c>
      <c r="E18" s="68"/>
      <c r="F18" s="61" t="s">
        <v>132</v>
      </c>
      <c r="G18" s="9">
        <v>1</v>
      </c>
      <c r="H18" s="165">
        <v>0</v>
      </c>
      <c r="I18" s="9">
        <f t="shared" si="0"/>
        <v>0</v>
      </c>
      <c r="K18" s="46"/>
      <c r="Z18" s="9">
        <f t="shared" si="1"/>
        <v>0</v>
      </c>
      <c r="AB18" s="9">
        <f t="shared" si="2"/>
        <v>0</v>
      </c>
      <c r="AC18" s="9">
        <f t="shared" si="3"/>
        <v>0</v>
      </c>
      <c r="AD18" s="9">
        <f t="shared" si="4"/>
        <v>0</v>
      </c>
      <c r="AE18" s="9">
        <f t="shared" si="5"/>
        <v>0</v>
      </c>
      <c r="AF18" s="9">
        <f t="shared" si="6"/>
        <v>0</v>
      </c>
      <c r="AG18" s="9">
        <f t="shared" si="7"/>
        <v>0</v>
      </c>
      <c r="AH18" s="9">
        <f t="shared" si="8"/>
        <v>0</v>
      </c>
      <c r="AI18" s="40" t="s">
        <v>17</v>
      </c>
      <c r="AJ18" s="9">
        <f t="shared" si="9"/>
        <v>0</v>
      </c>
      <c r="AK18" s="9">
        <f t="shared" si="10"/>
        <v>0</v>
      </c>
      <c r="AL18" s="9">
        <f t="shared" si="11"/>
        <v>0</v>
      </c>
      <c r="AN18" s="9">
        <v>21</v>
      </c>
      <c r="AO18" s="9">
        <f t="shared" si="12"/>
        <v>0</v>
      </c>
      <c r="AP18" s="9">
        <f t="shared" si="13"/>
        <v>0</v>
      </c>
      <c r="AQ18" s="8" t="s">
        <v>129</v>
      </c>
      <c r="AV18" s="9">
        <f t="shared" si="14"/>
        <v>0</v>
      </c>
      <c r="AW18" s="9">
        <f t="shared" si="15"/>
        <v>0</v>
      </c>
      <c r="AX18" s="9">
        <f t="shared" si="16"/>
        <v>0</v>
      </c>
      <c r="AY18" s="8" t="s">
        <v>133</v>
      </c>
      <c r="AZ18" s="8" t="s">
        <v>134</v>
      </c>
      <c r="BA18" s="40" t="s">
        <v>135</v>
      </c>
      <c r="BC18" s="9">
        <f t="shared" si="17"/>
        <v>0</v>
      </c>
      <c r="BD18" s="9">
        <f t="shared" si="18"/>
        <v>0</v>
      </c>
      <c r="BE18" s="9">
        <v>0</v>
      </c>
      <c r="BF18" s="9">
        <f>18</f>
        <v>18</v>
      </c>
      <c r="BH18" s="9">
        <f t="shared" si="19"/>
        <v>0</v>
      </c>
      <c r="BI18" s="9">
        <f t="shared" si="20"/>
        <v>0</v>
      </c>
      <c r="BJ18" s="9">
        <f t="shared" si="21"/>
        <v>0</v>
      </c>
      <c r="BK18" s="9"/>
      <c r="BL18" s="9">
        <v>0</v>
      </c>
      <c r="BW18" s="9">
        <v>21</v>
      </c>
      <c r="BX18" s="62" t="s">
        <v>151</v>
      </c>
    </row>
    <row r="19" spans="1:76" x14ac:dyDescent="0.25">
      <c r="A19" s="50" t="s">
        <v>17</v>
      </c>
      <c r="B19" s="65" t="s">
        <v>17</v>
      </c>
      <c r="C19" s="65" t="s">
        <v>21</v>
      </c>
      <c r="D19" s="145" t="s">
        <v>22</v>
      </c>
      <c r="E19" s="146"/>
      <c r="F19" s="51" t="s">
        <v>3</v>
      </c>
      <c r="G19" s="51" t="s">
        <v>3</v>
      </c>
      <c r="H19" s="51" t="s">
        <v>3</v>
      </c>
      <c r="I19" s="33">
        <f>SUM(I20:I39)</f>
        <v>0</v>
      </c>
      <c r="K19" s="46"/>
      <c r="AI19" s="40" t="s">
        <v>17</v>
      </c>
      <c r="AS19" s="33">
        <f>SUM(AJ20:AJ39)</f>
        <v>0</v>
      </c>
      <c r="AT19" s="33">
        <f>SUM(AK20:AK39)</f>
        <v>0</v>
      </c>
      <c r="AU19" s="33">
        <f>SUM(AL20:AL39)</f>
        <v>0</v>
      </c>
    </row>
    <row r="20" spans="1:76" x14ac:dyDescent="0.25">
      <c r="A20" s="60" t="s">
        <v>152</v>
      </c>
      <c r="B20" s="61" t="s">
        <v>17</v>
      </c>
      <c r="C20" s="61" t="s">
        <v>153</v>
      </c>
      <c r="D20" s="72" t="s">
        <v>154</v>
      </c>
      <c r="E20" s="68"/>
      <c r="F20" s="61" t="s">
        <v>155</v>
      </c>
      <c r="G20" s="9">
        <v>130</v>
      </c>
      <c r="H20" s="165">
        <v>0</v>
      </c>
      <c r="I20" s="9">
        <f>G20*H20</f>
        <v>0</v>
      </c>
      <c r="K20" s="46"/>
      <c r="Z20" s="9">
        <f>IF(AQ20="5",BJ20,0)</f>
        <v>0</v>
      </c>
      <c r="AB20" s="9">
        <f>IF(AQ20="1",BH20,0)</f>
        <v>0</v>
      </c>
      <c r="AC20" s="9">
        <f>IF(AQ20="1",BI20,0)</f>
        <v>0</v>
      </c>
      <c r="AD20" s="9">
        <f>IF(AQ20="7",BH20,0)</f>
        <v>0</v>
      </c>
      <c r="AE20" s="9">
        <f>IF(AQ20="7",BI20,0)</f>
        <v>0</v>
      </c>
      <c r="AF20" s="9">
        <f>IF(AQ20="2",BH20,0)</f>
        <v>0</v>
      </c>
      <c r="AG20" s="9">
        <f>IF(AQ20="2",BI20,0)</f>
        <v>0</v>
      </c>
      <c r="AH20" s="9">
        <f>IF(AQ20="0",BJ20,0)</f>
        <v>0</v>
      </c>
      <c r="AI20" s="40" t="s">
        <v>17</v>
      </c>
      <c r="AJ20" s="9">
        <f>IF(AN20=0,I20,0)</f>
        <v>0</v>
      </c>
      <c r="AK20" s="9">
        <f>IF(AN20=12,I20,0)</f>
        <v>0</v>
      </c>
      <c r="AL20" s="9">
        <f>IF(AN20=21,I20,0)</f>
        <v>0</v>
      </c>
      <c r="AN20" s="9">
        <v>21</v>
      </c>
      <c r="AO20" s="9">
        <f>H20*0</f>
        <v>0</v>
      </c>
      <c r="AP20" s="9">
        <f>H20*(1-0)</f>
        <v>0</v>
      </c>
      <c r="AQ20" s="8" t="s">
        <v>129</v>
      </c>
      <c r="AV20" s="9">
        <f>AW20+AX20</f>
        <v>0</v>
      </c>
      <c r="AW20" s="9">
        <f>G20*AO20</f>
        <v>0</v>
      </c>
      <c r="AX20" s="9">
        <f>G20*AP20</f>
        <v>0</v>
      </c>
      <c r="AY20" s="8" t="s">
        <v>156</v>
      </c>
      <c r="AZ20" s="8" t="s">
        <v>157</v>
      </c>
      <c r="BA20" s="40" t="s">
        <v>135</v>
      </c>
      <c r="BC20" s="9">
        <f>AW20+AX20</f>
        <v>0</v>
      </c>
      <c r="BD20" s="9">
        <f>H20/(100-BE20)*100</f>
        <v>0</v>
      </c>
      <c r="BE20" s="9">
        <v>0</v>
      </c>
      <c r="BF20" s="9">
        <f>20</f>
        <v>20</v>
      </c>
      <c r="BH20" s="9">
        <f>G20*AO20</f>
        <v>0</v>
      </c>
      <c r="BI20" s="9">
        <f>G20*AP20</f>
        <v>0</v>
      </c>
      <c r="BJ20" s="9">
        <f>G20*H20</f>
        <v>0</v>
      </c>
      <c r="BK20" s="9"/>
      <c r="BL20" s="9">
        <v>11</v>
      </c>
      <c r="BW20" s="9">
        <v>21</v>
      </c>
      <c r="BX20" s="62" t="s">
        <v>154</v>
      </c>
    </row>
    <row r="21" spans="1:76" x14ac:dyDescent="0.25">
      <c r="A21" s="60" t="s">
        <v>158</v>
      </c>
      <c r="B21" s="61" t="s">
        <v>17</v>
      </c>
      <c r="C21" s="61" t="s">
        <v>159</v>
      </c>
      <c r="D21" s="72" t="s">
        <v>160</v>
      </c>
      <c r="E21" s="68"/>
      <c r="F21" s="61" t="s">
        <v>161</v>
      </c>
      <c r="G21" s="9">
        <v>8.1449999999999996</v>
      </c>
      <c r="H21" s="165">
        <v>0</v>
      </c>
      <c r="I21" s="9">
        <f>G21*H21</f>
        <v>0</v>
      </c>
      <c r="K21" s="46"/>
      <c r="Z21" s="9">
        <f>IF(AQ21="5",BJ21,0)</f>
        <v>0</v>
      </c>
      <c r="AB21" s="9">
        <f>IF(AQ21="1",BH21,0)</f>
        <v>0</v>
      </c>
      <c r="AC21" s="9">
        <f>IF(AQ21="1",BI21,0)</f>
        <v>0</v>
      </c>
      <c r="AD21" s="9">
        <f>IF(AQ21="7",BH21,0)</f>
        <v>0</v>
      </c>
      <c r="AE21" s="9">
        <f>IF(AQ21="7",BI21,0)</f>
        <v>0</v>
      </c>
      <c r="AF21" s="9">
        <f>IF(AQ21="2",BH21,0)</f>
        <v>0</v>
      </c>
      <c r="AG21" s="9">
        <f>IF(AQ21="2",BI21,0)</f>
        <v>0</v>
      </c>
      <c r="AH21" s="9">
        <f>IF(AQ21="0",BJ21,0)</f>
        <v>0</v>
      </c>
      <c r="AI21" s="40" t="s">
        <v>17</v>
      </c>
      <c r="AJ21" s="9">
        <f>IF(AN21=0,I21,0)</f>
        <v>0</v>
      </c>
      <c r="AK21" s="9">
        <f>IF(AN21=12,I21,0)</f>
        <v>0</v>
      </c>
      <c r="AL21" s="9">
        <f>IF(AN21=21,I21,0)</f>
        <v>0</v>
      </c>
      <c r="AN21" s="9">
        <v>21</v>
      </c>
      <c r="AO21" s="9">
        <f>H21*0</f>
        <v>0</v>
      </c>
      <c r="AP21" s="9">
        <f>H21*(1-0)</f>
        <v>0</v>
      </c>
      <c r="AQ21" s="8" t="s">
        <v>129</v>
      </c>
      <c r="AV21" s="9">
        <f>AW21+AX21</f>
        <v>0</v>
      </c>
      <c r="AW21" s="9">
        <f>G21*AO21</f>
        <v>0</v>
      </c>
      <c r="AX21" s="9">
        <f>G21*AP21</f>
        <v>0</v>
      </c>
      <c r="AY21" s="8" t="s">
        <v>156</v>
      </c>
      <c r="AZ21" s="8" t="s">
        <v>157</v>
      </c>
      <c r="BA21" s="40" t="s">
        <v>135</v>
      </c>
      <c r="BC21" s="9">
        <f>AW21+AX21</f>
        <v>0</v>
      </c>
      <c r="BD21" s="9">
        <f>H21/(100-BE21)*100</f>
        <v>0</v>
      </c>
      <c r="BE21" s="9">
        <v>0</v>
      </c>
      <c r="BF21" s="9">
        <f>21</f>
        <v>21</v>
      </c>
      <c r="BH21" s="9">
        <f>G21*AO21</f>
        <v>0</v>
      </c>
      <c r="BI21" s="9">
        <f>G21*AP21</f>
        <v>0</v>
      </c>
      <c r="BJ21" s="9">
        <f>G21*H21</f>
        <v>0</v>
      </c>
      <c r="BK21" s="9"/>
      <c r="BL21" s="9">
        <v>11</v>
      </c>
      <c r="BW21" s="9">
        <v>21</v>
      </c>
      <c r="BX21" s="62" t="s">
        <v>160</v>
      </c>
    </row>
    <row r="22" spans="1:76" x14ac:dyDescent="0.25">
      <c r="A22" s="52"/>
      <c r="D22" s="67" t="s">
        <v>162</v>
      </c>
      <c r="E22" s="67" t="s">
        <v>17</v>
      </c>
      <c r="G22" s="53">
        <v>0</v>
      </c>
      <c r="K22" s="46"/>
    </row>
    <row r="23" spans="1:76" x14ac:dyDescent="0.25">
      <c r="A23" s="52"/>
      <c r="D23" s="67" t="s">
        <v>163</v>
      </c>
      <c r="E23" s="67" t="s">
        <v>17</v>
      </c>
      <c r="G23" s="53">
        <v>0.97499999999999998</v>
      </c>
      <c r="K23" s="46"/>
    </row>
    <row r="24" spans="1:76" x14ac:dyDescent="0.25">
      <c r="A24" s="52"/>
      <c r="D24" s="67" t="s">
        <v>164</v>
      </c>
      <c r="E24" s="67" t="s">
        <v>17</v>
      </c>
      <c r="G24" s="53">
        <v>3.06</v>
      </c>
      <c r="K24" s="46"/>
    </row>
    <row r="25" spans="1:76" x14ac:dyDescent="0.25">
      <c r="A25" s="52"/>
      <c r="D25" s="67" t="s">
        <v>165</v>
      </c>
      <c r="E25" s="67" t="s">
        <v>17</v>
      </c>
      <c r="G25" s="53">
        <v>1.86</v>
      </c>
      <c r="K25" s="46"/>
    </row>
    <row r="26" spans="1:76" x14ac:dyDescent="0.25">
      <c r="A26" s="52"/>
      <c r="D26" s="67" t="s">
        <v>166</v>
      </c>
      <c r="E26" s="67" t="s">
        <v>17</v>
      </c>
      <c r="G26" s="53">
        <v>2.25</v>
      </c>
      <c r="K26" s="46"/>
    </row>
    <row r="27" spans="1:76" x14ac:dyDescent="0.25">
      <c r="A27" s="60" t="s">
        <v>167</v>
      </c>
      <c r="B27" s="61" t="s">
        <v>17</v>
      </c>
      <c r="C27" s="61" t="s">
        <v>168</v>
      </c>
      <c r="D27" s="72" t="s">
        <v>169</v>
      </c>
      <c r="E27" s="68"/>
      <c r="F27" s="61" t="s">
        <v>155</v>
      </c>
      <c r="G27" s="9">
        <v>8</v>
      </c>
      <c r="H27" s="165">
        <v>0</v>
      </c>
      <c r="I27" s="9">
        <f>G27*H27</f>
        <v>0</v>
      </c>
      <c r="K27" s="46"/>
      <c r="Z27" s="9">
        <f>IF(AQ27="5",BJ27,0)</f>
        <v>0</v>
      </c>
      <c r="AB27" s="9">
        <f>IF(AQ27="1",BH27,0)</f>
        <v>0</v>
      </c>
      <c r="AC27" s="9">
        <f>IF(AQ27="1",BI27,0)</f>
        <v>0</v>
      </c>
      <c r="AD27" s="9">
        <f>IF(AQ27="7",BH27,0)</f>
        <v>0</v>
      </c>
      <c r="AE27" s="9">
        <f>IF(AQ27="7",BI27,0)</f>
        <v>0</v>
      </c>
      <c r="AF27" s="9">
        <f>IF(AQ27="2",BH27,0)</f>
        <v>0</v>
      </c>
      <c r="AG27" s="9">
        <f>IF(AQ27="2",BI27,0)</f>
        <v>0</v>
      </c>
      <c r="AH27" s="9">
        <f>IF(AQ27="0",BJ27,0)</f>
        <v>0</v>
      </c>
      <c r="AI27" s="40" t="s">
        <v>17</v>
      </c>
      <c r="AJ27" s="9">
        <f>IF(AN27=0,I27,0)</f>
        <v>0</v>
      </c>
      <c r="AK27" s="9">
        <f>IF(AN27=12,I27,0)</f>
        <v>0</v>
      </c>
      <c r="AL27" s="9">
        <f>IF(AN27=21,I27,0)</f>
        <v>0</v>
      </c>
      <c r="AN27" s="9">
        <v>21</v>
      </c>
      <c r="AO27" s="9">
        <f>H27*0</f>
        <v>0</v>
      </c>
      <c r="AP27" s="9">
        <f>H27*(1-0)</f>
        <v>0</v>
      </c>
      <c r="AQ27" s="8" t="s">
        <v>129</v>
      </c>
      <c r="AV27" s="9">
        <f>AW27+AX27</f>
        <v>0</v>
      </c>
      <c r="AW27" s="9">
        <f>G27*AO27</f>
        <v>0</v>
      </c>
      <c r="AX27" s="9">
        <f>G27*AP27</f>
        <v>0</v>
      </c>
      <c r="AY27" s="8" t="s">
        <v>156</v>
      </c>
      <c r="AZ27" s="8" t="s">
        <v>157</v>
      </c>
      <c r="BA27" s="40" t="s">
        <v>135</v>
      </c>
      <c r="BC27" s="9">
        <f>AW27+AX27</f>
        <v>0</v>
      </c>
      <c r="BD27" s="9">
        <f>H27/(100-BE27)*100</f>
        <v>0</v>
      </c>
      <c r="BE27" s="9">
        <v>0</v>
      </c>
      <c r="BF27" s="9">
        <f>27</f>
        <v>27</v>
      </c>
      <c r="BH27" s="9">
        <f>G27*AO27</f>
        <v>0</v>
      </c>
      <c r="BI27" s="9">
        <f>G27*AP27</f>
        <v>0</v>
      </c>
      <c r="BJ27" s="9">
        <f>G27*H27</f>
        <v>0</v>
      </c>
      <c r="BK27" s="9"/>
      <c r="BL27" s="9">
        <v>11</v>
      </c>
      <c r="BW27" s="9">
        <v>21</v>
      </c>
      <c r="BX27" s="62" t="s">
        <v>169</v>
      </c>
    </row>
    <row r="28" spans="1:76" x14ac:dyDescent="0.25">
      <c r="A28" s="52"/>
      <c r="D28" s="67" t="s">
        <v>170</v>
      </c>
      <c r="E28" s="67" t="s">
        <v>17</v>
      </c>
      <c r="G28" s="53">
        <v>0</v>
      </c>
      <c r="K28" s="46"/>
    </row>
    <row r="29" spans="1:76" x14ac:dyDescent="0.25">
      <c r="A29" s="52"/>
      <c r="D29" s="67" t="s">
        <v>158</v>
      </c>
      <c r="E29" s="67" t="s">
        <v>17</v>
      </c>
      <c r="G29" s="53">
        <v>8</v>
      </c>
      <c r="K29" s="46"/>
    </row>
    <row r="30" spans="1:76" x14ac:dyDescent="0.25">
      <c r="A30" s="60" t="s">
        <v>171</v>
      </c>
      <c r="B30" s="61" t="s">
        <v>17</v>
      </c>
      <c r="C30" s="61" t="s">
        <v>172</v>
      </c>
      <c r="D30" s="72" t="s">
        <v>173</v>
      </c>
      <c r="E30" s="68"/>
      <c r="F30" s="61" t="s">
        <v>155</v>
      </c>
      <c r="G30" s="9">
        <v>8</v>
      </c>
      <c r="H30" s="165">
        <v>0</v>
      </c>
      <c r="I30" s="9">
        <f>G30*H30</f>
        <v>0</v>
      </c>
      <c r="K30" s="46"/>
      <c r="Z30" s="9">
        <f>IF(AQ30="5",BJ30,0)</f>
        <v>0</v>
      </c>
      <c r="AB30" s="9">
        <f>IF(AQ30="1",BH30,0)</f>
        <v>0</v>
      </c>
      <c r="AC30" s="9">
        <f>IF(AQ30="1",BI30,0)</f>
        <v>0</v>
      </c>
      <c r="AD30" s="9">
        <f>IF(AQ30="7",BH30,0)</f>
        <v>0</v>
      </c>
      <c r="AE30" s="9">
        <f>IF(AQ30="7",BI30,0)</f>
        <v>0</v>
      </c>
      <c r="AF30" s="9">
        <f>IF(AQ30="2",BH30,0)</f>
        <v>0</v>
      </c>
      <c r="AG30" s="9">
        <f>IF(AQ30="2",BI30,0)</f>
        <v>0</v>
      </c>
      <c r="AH30" s="9">
        <f>IF(AQ30="0",BJ30,0)</f>
        <v>0</v>
      </c>
      <c r="AI30" s="40" t="s">
        <v>17</v>
      </c>
      <c r="AJ30" s="9">
        <f>IF(AN30=0,I30,0)</f>
        <v>0</v>
      </c>
      <c r="AK30" s="9">
        <f>IF(AN30=12,I30,0)</f>
        <v>0</v>
      </c>
      <c r="AL30" s="9">
        <f>IF(AN30=21,I30,0)</f>
        <v>0</v>
      </c>
      <c r="AN30" s="9">
        <v>21</v>
      </c>
      <c r="AO30" s="9">
        <f>H30*0</f>
        <v>0</v>
      </c>
      <c r="AP30" s="9">
        <f>H30*(1-0)</f>
        <v>0</v>
      </c>
      <c r="AQ30" s="8" t="s">
        <v>129</v>
      </c>
      <c r="AV30" s="9">
        <f>AW30+AX30</f>
        <v>0</v>
      </c>
      <c r="AW30" s="9">
        <f>G30*AO30</f>
        <v>0</v>
      </c>
      <c r="AX30" s="9">
        <f>G30*AP30</f>
        <v>0</v>
      </c>
      <c r="AY30" s="8" t="s">
        <v>156</v>
      </c>
      <c r="AZ30" s="8" t="s">
        <v>157</v>
      </c>
      <c r="BA30" s="40" t="s">
        <v>135</v>
      </c>
      <c r="BC30" s="9">
        <f>AW30+AX30</f>
        <v>0</v>
      </c>
      <c r="BD30" s="9">
        <f>H30/(100-BE30)*100</f>
        <v>0</v>
      </c>
      <c r="BE30" s="9">
        <v>0</v>
      </c>
      <c r="BF30" s="9">
        <f>30</f>
        <v>30</v>
      </c>
      <c r="BH30" s="9">
        <f>G30*AO30</f>
        <v>0</v>
      </c>
      <c r="BI30" s="9">
        <f>G30*AP30</f>
        <v>0</v>
      </c>
      <c r="BJ30" s="9">
        <f>G30*H30</f>
        <v>0</v>
      </c>
      <c r="BK30" s="9"/>
      <c r="BL30" s="9">
        <v>11</v>
      </c>
      <c r="BW30" s="9">
        <v>21</v>
      </c>
      <c r="BX30" s="62" t="s">
        <v>173</v>
      </c>
    </row>
    <row r="31" spans="1:76" x14ac:dyDescent="0.25">
      <c r="A31" s="52"/>
      <c r="D31" s="67" t="s">
        <v>174</v>
      </c>
      <c r="E31" s="67" t="s">
        <v>17</v>
      </c>
      <c r="G31" s="53">
        <v>0</v>
      </c>
      <c r="K31" s="46"/>
    </row>
    <row r="32" spans="1:76" x14ac:dyDescent="0.25">
      <c r="A32" s="52"/>
      <c r="D32" s="67" t="s">
        <v>158</v>
      </c>
      <c r="E32" s="67" t="s">
        <v>17</v>
      </c>
      <c r="G32" s="53">
        <v>8</v>
      </c>
      <c r="K32" s="46"/>
    </row>
    <row r="33" spans="1:76" x14ac:dyDescent="0.25">
      <c r="A33" s="60" t="s">
        <v>21</v>
      </c>
      <c r="B33" s="61" t="s">
        <v>17</v>
      </c>
      <c r="C33" s="61" t="s">
        <v>175</v>
      </c>
      <c r="D33" s="72" t="s">
        <v>176</v>
      </c>
      <c r="E33" s="68"/>
      <c r="F33" s="61" t="s">
        <v>161</v>
      </c>
      <c r="G33" s="9">
        <v>186.1</v>
      </c>
      <c r="H33" s="165">
        <v>0</v>
      </c>
      <c r="I33" s="9">
        <f>G33*H33</f>
        <v>0</v>
      </c>
      <c r="K33" s="46"/>
      <c r="Z33" s="9">
        <f>IF(AQ33="5",BJ33,0)</f>
        <v>0</v>
      </c>
      <c r="AB33" s="9">
        <f>IF(AQ33="1",BH33,0)</f>
        <v>0</v>
      </c>
      <c r="AC33" s="9">
        <f>IF(AQ33="1",BI33,0)</f>
        <v>0</v>
      </c>
      <c r="AD33" s="9">
        <f>IF(AQ33="7",BH33,0)</f>
        <v>0</v>
      </c>
      <c r="AE33" s="9">
        <f>IF(AQ33="7",BI33,0)</f>
        <v>0</v>
      </c>
      <c r="AF33" s="9">
        <f>IF(AQ33="2",BH33,0)</f>
        <v>0</v>
      </c>
      <c r="AG33" s="9">
        <f>IF(AQ33="2",BI33,0)</f>
        <v>0</v>
      </c>
      <c r="AH33" s="9">
        <f>IF(AQ33="0",BJ33,0)</f>
        <v>0</v>
      </c>
      <c r="AI33" s="40" t="s">
        <v>17</v>
      </c>
      <c r="AJ33" s="9">
        <f>IF(AN33=0,I33,0)</f>
        <v>0</v>
      </c>
      <c r="AK33" s="9">
        <f>IF(AN33=12,I33,0)</f>
        <v>0</v>
      </c>
      <c r="AL33" s="9">
        <f>IF(AN33=21,I33,0)</f>
        <v>0</v>
      </c>
      <c r="AN33" s="9">
        <v>21</v>
      </c>
      <c r="AO33" s="9">
        <f>H33*0</f>
        <v>0</v>
      </c>
      <c r="AP33" s="9">
        <f>H33*(1-0)</f>
        <v>0</v>
      </c>
      <c r="AQ33" s="8" t="s">
        <v>129</v>
      </c>
      <c r="AV33" s="9">
        <f>AW33+AX33</f>
        <v>0</v>
      </c>
      <c r="AW33" s="9">
        <f>G33*AO33</f>
        <v>0</v>
      </c>
      <c r="AX33" s="9">
        <f>G33*AP33</f>
        <v>0</v>
      </c>
      <c r="AY33" s="8" t="s">
        <v>156</v>
      </c>
      <c r="AZ33" s="8" t="s">
        <v>157</v>
      </c>
      <c r="BA33" s="40" t="s">
        <v>135</v>
      </c>
      <c r="BC33" s="9">
        <f>AW33+AX33</f>
        <v>0</v>
      </c>
      <c r="BD33" s="9">
        <f>H33/(100-BE33)*100</f>
        <v>0</v>
      </c>
      <c r="BE33" s="9">
        <v>0</v>
      </c>
      <c r="BF33" s="9">
        <f>33</f>
        <v>33</v>
      </c>
      <c r="BH33" s="9">
        <f>G33*AO33</f>
        <v>0</v>
      </c>
      <c r="BI33" s="9">
        <f>G33*AP33</f>
        <v>0</v>
      </c>
      <c r="BJ33" s="9">
        <f>G33*H33</f>
        <v>0</v>
      </c>
      <c r="BK33" s="9"/>
      <c r="BL33" s="9">
        <v>11</v>
      </c>
      <c r="BW33" s="9">
        <v>21</v>
      </c>
      <c r="BX33" s="62" t="s">
        <v>176</v>
      </c>
    </row>
    <row r="34" spans="1:76" x14ac:dyDescent="0.25">
      <c r="A34" s="52"/>
      <c r="D34" s="67" t="s">
        <v>177</v>
      </c>
      <c r="E34" s="67" t="s">
        <v>17</v>
      </c>
      <c r="G34" s="53">
        <v>39</v>
      </c>
      <c r="K34" s="46"/>
    </row>
    <row r="35" spans="1:76" x14ac:dyDescent="0.25">
      <c r="A35" s="52"/>
      <c r="D35" s="67" t="s">
        <v>178</v>
      </c>
      <c r="E35" s="67" t="s">
        <v>17</v>
      </c>
      <c r="G35" s="53">
        <v>12.1</v>
      </c>
      <c r="K35" s="46"/>
    </row>
    <row r="36" spans="1:76" x14ac:dyDescent="0.25">
      <c r="A36" s="52"/>
      <c r="D36" s="67" t="s">
        <v>179</v>
      </c>
      <c r="E36" s="67" t="s">
        <v>17</v>
      </c>
      <c r="G36" s="53">
        <v>54</v>
      </c>
      <c r="K36" s="46"/>
    </row>
    <row r="37" spans="1:76" x14ac:dyDescent="0.25">
      <c r="A37" s="52"/>
      <c r="D37" s="67" t="s">
        <v>180</v>
      </c>
      <c r="E37" s="67" t="s">
        <v>17</v>
      </c>
      <c r="G37" s="53">
        <v>81</v>
      </c>
      <c r="K37" s="46"/>
    </row>
    <row r="38" spans="1:76" ht="25.5" x14ac:dyDescent="0.25">
      <c r="A38" s="52"/>
      <c r="C38" s="54" t="s">
        <v>181</v>
      </c>
      <c r="D38" s="147" t="s">
        <v>182</v>
      </c>
      <c r="E38" s="148"/>
      <c r="F38" s="148"/>
      <c r="G38" s="148"/>
      <c r="H38" s="148"/>
      <c r="I38" s="148"/>
      <c r="J38" s="148"/>
      <c r="K38" s="149"/>
      <c r="BX38" s="66" t="s">
        <v>182</v>
      </c>
    </row>
    <row r="39" spans="1:76" x14ac:dyDescent="0.25">
      <c r="A39" s="60" t="s">
        <v>23</v>
      </c>
      <c r="B39" s="61" t="s">
        <v>17</v>
      </c>
      <c r="C39" s="61" t="s">
        <v>183</v>
      </c>
      <c r="D39" s="72" t="s">
        <v>184</v>
      </c>
      <c r="E39" s="68"/>
      <c r="F39" s="61" t="s">
        <v>161</v>
      </c>
      <c r="G39" s="9">
        <v>1</v>
      </c>
      <c r="H39" s="165">
        <v>0</v>
      </c>
      <c r="I39" s="9">
        <f>G39*H39</f>
        <v>0</v>
      </c>
      <c r="K39" s="46"/>
      <c r="Z39" s="9">
        <f>IF(AQ39="5",BJ39,0)</f>
        <v>0</v>
      </c>
      <c r="AB39" s="9">
        <f>IF(AQ39="1",BH39,0)</f>
        <v>0</v>
      </c>
      <c r="AC39" s="9">
        <f>IF(AQ39="1",BI39,0)</f>
        <v>0</v>
      </c>
      <c r="AD39" s="9">
        <f>IF(AQ39="7",BH39,0)</f>
        <v>0</v>
      </c>
      <c r="AE39" s="9">
        <f>IF(AQ39="7",BI39,0)</f>
        <v>0</v>
      </c>
      <c r="AF39" s="9">
        <f>IF(AQ39="2",BH39,0)</f>
        <v>0</v>
      </c>
      <c r="AG39" s="9">
        <f>IF(AQ39="2",BI39,0)</f>
        <v>0</v>
      </c>
      <c r="AH39" s="9">
        <f>IF(AQ39="0",BJ39,0)</f>
        <v>0</v>
      </c>
      <c r="AI39" s="40" t="s">
        <v>17</v>
      </c>
      <c r="AJ39" s="9">
        <f>IF(AN39=0,I39,0)</f>
        <v>0</v>
      </c>
      <c r="AK39" s="9">
        <f>IF(AN39=12,I39,0)</f>
        <v>0</v>
      </c>
      <c r="AL39" s="9">
        <f>IF(AN39=21,I39,0)</f>
        <v>0</v>
      </c>
      <c r="AN39" s="9">
        <v>21</v>
      </c>
      <c r="AO39" s="9">
        <f>H39*0</f>
        <v>0</v>
      </c>
      <c r="AP39" s="9">
        <f>H39*(1-0)</f>
        <v>0</v>
      </c>
      <c r="AQ39" s="8" t="s">
        <v>129</v>
      </c>
      <c r="AV39" s="9">
        <f>AW39+AX39</f>
        <v>0</v>
      </c>
      <c r="AW39" s="9">
        <f>G39*AO39</f>
        <v>0</v>
      </c>
      <c r="AX39" s="9">
        <f>G39*AP39</f>
        <v>0</v>
      </c>
      <c r="AY39" s="8" t="s">
        <v>156</v>
      </c>
      <c r="AZ39" s="8" t="s">
        <v>157</v>
      </c>
      <c r="BA39" s="40" t="s">
        <v>135</v>
      </c>
      <c r="BC39" s="9">
        <f>AW39+AX39</f>
        <v>0</v>
      </c>
      <c r="BD39" s="9">
        <f>H39/(100-BE39)*100</f>
        <v>0</v>
      </c>
      <c r="BE39" s="9">
        <v>0</v>
      </c>
      <c r="BF39" s="9">
        <f>39</f>
        <v>39</v>
      </c>
      <c r="BH39" s="9">
        <f>G39*AO39</f>
        <v>0</v>
      </c>
      <c r="BI39" s="9">
        <f>G39*AP39</f>
        <v>0</v>
      </c>
      <c r="BJ39" s="9">
        <f>G39*H39</f>
        <v>0</v>
      </c>
      <c r="BK39" s="9"/>
      <c r="BL39" s="9">
        <v>11</v>
      </c>
      <c r="BW39" s="9">
        <v>21</v>
      </c>
      <c r="BX39" s="62" t="s">
        <v>184</v>
      </c>
    </row>
    <row r="40" spans="1:76" x14ac:dyDescent="0.25">
      <c r="A40" s="50" t="s">
        <v>17</v>
      </c>
      <c r="B40" s="65" t="s">
        <v>17</v>
      </c>
      <c r="C40" s="65" t="s">
        <v>23</v>
      </c>
      <c r="D40" s="145" t="s">
        <v>24</v>
      </c>
      <c r="E40" s="146"/>
      <c r="F40" s="51" t="s">
        <v>3</v>
      </c>
      <c r="G40" s="51" t="s">
        <v>3</v>
      </c>
      <c r="H40" s="51" t="s">
        <v>3</v>
      </c>
      <c r="I40" s="33">
        <f>SUM(I41:I46)</f>
        <v>0</v>
      </c>
      <c r="K40" s="46"/>
      <c r="AI40" s="40" t="s">
        <v>17</v>
      </c>
      <c r="AS40" s="33">
        <f>SUM(AJ41:AJ46)</f>
        <v>0</v>
      </c>
      <c r="AT40" s="33">
        <f>SUM(AK41:AK46)</f>
        <v>0</v>
      </c>
      <c r="AU40" s="33">
        <f>SUM(AL41:AL46)</f>
        <v>0</v>
      </c>
    </row>
    <row r="41" spans="1:76" x14ac:dyDescent="0.25">
      <c r="A41" s="60" t="s">
        <v>185</v>
      </c>
      <c r="B41" s="61" t="s">
        <v>17</v>
      </c>
      <c r="C41" s="61" t="s">
        <v>186</v>
      </c>
      <c r="D41" s="72" t="s">
        <v>187</v>
      </c>
      <c r="E41" s="68"/>
      <c r="F41" s="61" t="s">
        <v>188</v>
      </c>
      <c r="G41" s="9">
        <v>76.388000000000005</v>
      </c>
      <c r="H41" s="165">
        <v>0</v>
      </c>
      <c r="I41" s="9">
        <f>G41*H41</f>
        <v>0</v>
      </c>
      <c r="K41" s="46"/>
      <c r="Z41" s="9">
        <f>IF(AQ41="5",BJ41,0)</f>
        <v>0</v>
      </c>
      <c r="AB41" s="9">
        <f>IF(AQ41="1",BH41,0)</f>
        <v>0</v>
      </c>
      <c r="AC41" s="9">
        <f>IF(AQ41="1",BI41,0)</f>
        <v>0</v>
      </c>
      <c r="AD41" s="9">
        <f>IF(AQ41="7",BH41,0)</f>
        <v>0</v>
      </c>
      <c r="AE41" s="9">
        <f>IF(AQ41="7",BI41,0)</f>
        <v>0</v>
      </c>
      <c r="AF41" s="9">
        <f>IF(AQ41="2",BH41,0)</f>
        <v>0</v>
      </c>
      <c r="AG41" s="9">
        <f>IF(AQ41="2",BI41,0)</f>
        <v>0</v>
      </c>
      <c r="AH41" s="9">
        <f>IF(AQ41="0",BJ41,0)</f>
        <v>0</v>
      </c>
      <c r="AI41" s="40" t="s">
        <v>17</v>
      </c>
      <c r="AJ41" s="9">
        <f>IF(AN41=0,I41,0)</f>
        <v>0</v>
      </c>
      <c r="AK41" s="9">
        <f>IF(AN41=12,I41,0)</f>
        <v>0</v>
      </c>
      <c r="AL41" s="9">
        <f>IF(AN41=21,I41,0)</f>
        <v>0</v>
      </c>
      <c r="AN41" s="9">
        <v>21</v>
      </c>
      <c r="AO41" s="9">
        <f>H41*0</f>
        <v>0</v>
      </c>
      <c r="AP41" s="9">
        <f>H41*(1-0)</f>
        <v>0</v>
      </c>
      <c r="AQ41" s="8" t="s">
        <v>129</v>
      </c>
      <c r="AV41" s="9">
        <f>AW41+AX41</f>
        <v>0</v>
      </c>
      <c r="AW41" s="9">
        <f>G41*AO41</f>
        <v>0</v>
      </c>
      <c r="AX41" s="9">
        <f>G41*AP41</f>
        <v>0</v>
      </c>
      <c r="AY41" s="8" t="s">
        <v>189</v>
      </c>
      <c r="AZ41" s="8" t="s">
        <v>157</v>
      </c>
      <c r="BA41" s="40" t="s">
        <v>135</v>
      </c>
      <c r="BC41" s="9">
        <f>AW41+AX41</f>
        <v>0</v>
      </c>
      <c r="BD41" s="9">
        <f>H41/(100-BE41)*100</f>
        <v>0</v>
      </c>
      <c r="BE41" s="9">
        <v>0</v>
      </c>
      <c r="BF41" s="9">
        <f>41</f>
        <v>41</v>
      </c>
      <c r="BH41" s="9">
        <f>G41*AO41</f>
        <v>0</v>
      </c>
      <c r="BI41" s="9">
        <f>G41*AP41</f>
        <v>0</v>
      </c>
      <c r="BJ41" s="9">
        <f>G41*H41</f>
        <v>0</v>
      </c>
      <c r="BK41" s="9"/>
      <c r="BL41" s="9">
        <v>12</v>
      </c>
      <c r="BW41" s="9">
        <v>21</v>
      </c>
      <c r="BX41" s="62" t="s">
        <v>187</v>
      </c>
    </row>
    <row r="42" spans="1:76" x14ac:dyDescent="0.25">
      <c r="A42" s="52"/>
      <c r="D42" s="67" t="s">
        <v>190</v>
      </c>
      <c r="E42" s="67" t="s">
        <v>17</v>
      </c>
      <c r="G42" s="53">
        <v>17.062999999999999</v>
      </c>
      <c r="K42" s="46"/>
    </row>
    <row r="43" spans="1:76" x14ac:dyDescent="0.25">
      <c r="A43" s="52"/>
      <c r="D43" s="67" t="s">
        <v>191</v>
      </c>
      <c r="E43" s="67" t="s">
        <v>17</v>
      </c>
      <c r="G43" s="53">
        <v>4.2</v>
      </c>
      <c r="K43" s="46"/>
    </row>
    <row r="44" spans="1:76" x14ac:dyDescent="0.25">
      <c r="A44" s="52"/>
      <c r="D44" s="67" t="s">
        <v>192</v>
      </c>
      <c r="E44" s="67" t="s">
        <v>17</v>
      </c>
      <c r="G44" s="53">
        <v>22.05</v>
      </c>
      <c r="K44" s="46"/>
    </row>
    <row r="45" spans="1:76" x14ac:dyDescent="0.25">
      <c r="A45" s="52"/>
      <c r="D45" s="67" t="s">
        <v>193</v>
      </c>
      <c r="E45" s="67" t="s">
        <v>17</v>
      </c>
      <c r="G45" s="53">
        <v>33.075000000000003</v>
      </c>
      <c r="K45" s="46"/>
    </row>
    <row r="46" spans="1:76" x14ac:dyDescent="0.25">
      <c r="A46" s="60" t="s">
        <v>194</v>
      </c>
      <c r="B46" s="61" t="s">
        <v>17</v>
      </c>
      <c r="C46" s="61" t="s">
        <v>195</v>
      </c>
      <c r="D46" s="72" t="s">
        <v>196</v>
      </c>
      <c r="E46" s="68"/>
      <c r="F46" s="61" t="s">
        <v>188</v>
      </c>
      <c r="G46" s="9">
        <v>38.194000000000003</v>
      </c>
      <c r="H46" s="165">
        <v>0</v>
      </c>
      <c r="I46" s="9">
        <f>G46*H46</f>
        <v>0</v>
      </c>
      <c r="K46" s="46"/>
      <c r="Z46" s="9">
        <f>IF(AQ46="5",BJ46,0)</f>
        <v>0</v>
      </c>
      <c r="AB46" s="9">
        <f>IF(AQ46="1",BH46,0)</f>
        <v>0</v>
      </c>
      <c r="AC46" s="9">
        <f>IF(AQ46="1",BI46,0)</f>
        <v>0</v>
      </c>
      <c r="AD46" s="9">
        <f>IF(AQ46="7",BH46,0)</f>
        <v>0</v>
      </c>
      <c r="AE46" s="9">
        <f>IF(AQ46="7",BI46,0)</f>
        <v>0</v>
      </c>
      <c r="AF46" s="9">
        <f>IF(AQ46="2",BH46,0)</f>
        <v>0</v>
      </c>
      <c r="AG46" s="9">
        <f>IF(AQ46="2",BI46,0)</f>
        <v>0</v>
      </c>
      <c r="AH46" s="9">
        <f>IF(AQ46="0",BJ46,0)</f>
        <v>0</v>
      </c>
      <c r="AI46" s="40" t="s">
        <v>17</v>
      </c>
      <c r="AJ46" s="9">
        <f>IF(AN46=0,I46,0)</f>
        <v>0</v>
      </c>
      <c r="AK46" s="9">
        <f>IF(AN46=12,I46,0)</f>
        <v>0</v>
      </c>
      <c r="AL46" s="9">
        <f>IF(AN46=21,I46,0)</f>
        <v>0</v>
      </c>
      <c r="AN46" s="9">
        <v>21</v>
      </c>
      <c r="AO46" s="9">
        <f>H46*0</f>
        <v>0</v>
      </c>
      <c r="AP46" s="9">
        <f>H46*(1-0)</f>
        <v>0</v>
      </c>
      <c r="AQ46" s="8" t="s">
        <v>129</v>
      </c>
      <c r="AV46" s="9">
        <f>AW46+AX46</f>
        <v>0</v>
      </c>
      <c r="AW46" s="9">
        <f>G46*AO46</f>
        <v>0</v>
      </c>
      <c r="AX46" s="9">
        <f>G46*AP46</f>
        <v>0</v>
      </c>
      <c r="AY46" s="8" t="s">
        <v>189</v>
      </c>
      <c r="AZ46" s="8" t="s">
        <v>157</v>
      </c>
      <c r="BA46" s="40" t="s">
        <v>135</v>
      </c>
      <c r="BC46" s="9">
        <f>AW46+AX46</f>
        <v>0</v>
      </c>
      <c r="BD46" s="9">
        <f>H46/(100-BE46)*100</f>
        <v>0</v>
      </c>
      <c r="BE46" s="9">
        <v>0</v>
      </c>
      <c r="BF46" s="9">
        <f>46</f>
        <v>46</v>
      </c>
      <c r="BH46" s="9">
        <f>G46*AO46</f>
        <v>0</v>
      </c>
      <c r="BI46" s="9">
        <f>G46*AP46</f>
        <v>0</v>
      </c>
      <c r="BJ46" s="9">
        <f>G46*H46</f>
        <v>0</v>
      </c>
      <c r="BK46" s="9"/>
      <c r="BL46" s="9">
        <v>12</v>
      </c>
      <c r="BW46" s="9">
        <v>21</v>
      </c>
      <c r="BX46" s="62" t="s">
        <v>196</v>
      </c>
    </row>
    <row r="47" spans="1:76" x14ac:dyDescent="0.25">
      <c r="A47" s="52"/>
      <c r="D47" s="67" t="s">
        <v>197</v>
      </c>
      <c r="E47" s="67" t="s">
        <v>17</v>
      </c>
      <c r="G47" s="53">
        <v>38.194000000000003</v>
      </c>
      <c r="K47" s="46"/>
    </row>
    <row r="48" spans="1:76" x14ac:dyDescent="0.25">
      <c r="A48" s="50" t="s">
        <v>17</v>
      </c>
      <c r="B48" s="65" t="s">
        <v>17</v>
      </c>
      <c r="C48" s="65" t="s">
        <v>25</v>
      </c>
      <c r="D48" s="145" t="s">
        <v>26</v>
      </c>
      <c r="E48" s="146"/>
      <c r="F48" s="51" t="s">
        <v>3</v>
      </c>
      <c r="G48" s="51" t="s">
        <v>3</v>
      </c>
      <c r="H48" s="51" t="s">
        <v>3</v>
      </c>
      <c r="I48" s="33">
        <f>SUM(I49:I50)</f>
        <v>0</v>
      </c>
      <c r="K48" s="46"/>
      <c r="AI48" s="40" t="s">
        <v>17</v>
      </c>
      <c r="AS48" s="33">
        <f>SUM(AJ49:AJ50)</f>
        <v>0</v>
      </c>
      <c r="AT48" s="33">
        <f>SUM(AK49:AK50)</f>
        <v>0</v>
      </c>
      <c r="AU48" s="33">
        <f>SUM(AL49:AL50)</f>
        <v>0</v>
      </c>
    </row>
    <row r="49" spans="1:76" x14ac:dyDescent="0.25">
      <c r="A49" s="60" t="s">
        <v>198</v>
      </c>
      <c r="B49" s="61" t="s">
        <v>17</v>
      </c>
      <c r="C49" s="61" t="s">
        <v>199</v>
      </c>
      <c r="D49" s="72" t="s">
        <v>200</v>
      </c>
      <c r="E49" s="68"/>
      <c r="F49" s="61" t="s">
        <v>188</v>
      </c>
      <c r="G49" s="9">
        <v>76.388000000000005</v>
      </c>
      <c r="H49" s="165">
        <v>0</v>
      </c>
      <c r="I49" s="9">
        <f>G49*H49</f>
        <v>0</v>
      </c>
      <c r="K49" s="46"/>
      <c r="Z49" s="9">
        <f>IF(AQ49="5",BJ49,0)</f>
        <v>0</v>
      </c>
      <c r="AB49" s="9">
        <f>IF(AQ49="1",BH49,0)</f>
        <v>0</v>
      </c>
      <c r="AC49" s="9">
        <f>IF(AQ49="1",BI49,0)</f>
        <v>0</v>
      </c>
      <c r="AD49" s="9">
        <f>IF(AQ49="7",BH49,0)</f>
        <v>0</v>
      </c>
      <c r="AE49" s="9">
        <f>IF(AQ49="7",BI49,0)</f>
        <v>0</v>
      </c>
      <c r="AF49" s="9">
        <f>IF(AQ49="2",BH49,0)</f>
        <v>0</v>
      </c>
      <c r="AG49" s="9">
        <f>IF(AQ49="2",BI49,0)</f>
        <v>0</v>
      </c>
      <c r="AH49" s="9">
        <f>IF(AQ49="0",BJ49,0)</f>
        <v>0</v>
      </c>
      <c r="AI49" s="40" t="s">
        <v>17</v>
      </c>
      <c r="AJ49" s="9">
        <f>IF(AN49=0,I49,0)</f>
        <v>0</v>
      </c>
      <c r="AK49" s="9">
        <f>IF(AN49=12,I49,0)</f>
        <v>0</v>
      </c>
      <c r="AL49" s="9">
        <f>IF(AN49=21,I49,0)</f>
        <v>0</v>
      </c>
      <c r="AN49" s="9">
        <v>21</v>
      </c>
      <c r="AO49" s="9">
        <f>H49*0</f>
        <v>0</v>
      </c>
      <c r="AP49" s="9">
        <f>H49*(1-0)</f>
        <v>0</v>
      </c>
      <c r="AQ49" s="8" t="s">
        <v>129</v>
      </c>
      <c r="AV49" s="9">
        <f>AW49+AX49</f>
        <v>0</v>
      </c>
      <c r="AW49" s="9">
        <f>G49*AO49</f>
        <v>0</v>
      </c>
      <c r="AX49" s="9">
        <f>G49*AP49</f>
        <v>0</v>
      </c>
      <c r="AY49" s="8" t="s">
        <v>201</v>
      </c>
      <c r="AZ49" s="8" t="s">
        <v>157</v>
      </c>
      <c r="BA49" s="40" t="s">
        <v>135</v>
      </c>
      <c r="BC49" s="9">
        <f>AW49+AX49</f>
        <v>0</v>
      </c>
      <c r="BD49" s="9">
        <f>H49/(100-BE49)*100</f>
        <v>0</v>
      </c>
      <c r="BE49" s="9">
        <v>0</v>
      </c>
      <c r="BF49" s="9">
        <f>49</f>
        <v>49</v>
      </c>
      <c r="BH49" s="9">
        <f>G49*AO49</f>
        <v>0</v>
      </c>
      <c r="BI49" s="9">
        <f>G49*AP49</f>
        <v>0</v>
      </c>
      <c r="BJ49" s="9">
        <f>G49*H49</f>
        <v>0</v>
      </c>
      <c r="BK49" s="9"/>
      <c r="BL49" s="9">
        <v>16</v>
      </c>
      <c r="BW49" s="9">
        <v>21</v>
      </c>
      <c r="BX49" s="62" t="s">
        <v>200</v>
      </c>
    </row>
    <row r="50" spans="1:76" x14ac:dyDescent="0.25">
      <c r="A50" s="60" t="s">
        <v>25</v>
      </c>
      <c r="B50" s="61" t="s">
        <v>17</v>
      </c>
      <c r="C50" s="61" t="s">
        <v>202</v>
      </c>
      <c r="D50" s="72" t="s">
        <v>203</v>
      </c>
      <c r="E50" s="68"/>
      <c r="F50" s="61" t="s">
        <v>188</v>
      </c>
      <c r="G50" s="9">
        <v>458.32799999999997</v>
      </c>
      <c r="H50" s="165">
        <v>0</v>
      </c>
      <c r="I50" s="9">
        <f>G50*H50</f>
        <v>0</v>
      </c>
      <c r="K50" s="46"/>
      <c r="Z50" s="9">
        <f>IF(AQ50="5",BJ50,0)</f>
        <v>0</v>
      </c>
      <c r="AB50" s="9">
        <f>IF(AQ50="1",BH50,0)</f>
        <v>0</v>
      </c>
      <c r="AC50" s="9">
        <f>IF(AQ50="1",BI50,0)</f>
        <v>0</v>
      </c>
      <c r="AD50" s="9">
        <f>IF(AQ50="7",BH50,0)</f>
        <v>0</v>
      </c>
      <c r="AE50" s="9">
        <f>IF(AQ50="7",BI50,0)</f>
        <v>0</v>
      </c>
      <c r="AF50" s="9">
        <f>IF(AQ50="2",BH50,0)</f>
        <v>0</v>
      </c>
      <c r="AG50" s="9">
        <f>IF(AQ50="2",BI50,0)</f>
        <v>0</v>
      </c>
      <c r="AH50" s="9">
        <f>IF(AQ50="0",BJ50,0)</f>
        <v>0</v>
      </c>
      <c r="AI50" s="40" t="s">
        <v>17</v>
      </c>
      <c r="AJ50" s="9">
        <f>IF(AN50=0,I50,0)</f>
        <v>0</v>
      </c>
      <c r="AK50" s="9">
        <f>IF(AN50=12,I50,0)</f>
        <v>0</v>
      </c>
      <c r="AL50" s="9">
        <f>IF(AN50=21,I50,0)</f>
        <v>0</v>
      </c>
      <c r="AN50" s="9">
        <v>21</v>
      </c>
      <c r="AO50" s="9">
        <f>H50*0</f>
        <v>0</v>
      </c>
      <c r="AP50" s="9">
        <f>H50*(1-0)</f>
        <v>0</v>
      </c>
      <c r="AQ50" s="8" t="s">
        <v>129</v>
      </c>
      <c r="AV50" s="9">
        <f>AW50+AX50</f>
        <v>0</v>
      </c>
      <c r="AW50" s="9">
        <f>G50*AO50</f>
        <v>0</v>
      </c>
      <c r="AX50" s="9">
        <f>G50*AP50</f>
        <v>0</v>
      </c>
      <c r="AY50" s="8" t="s">
        <v>201</v>
      </c>
      <c r="AZ50" s="8" t="s">
        <v>157</v>
      </c>
      <c r="BA50" s="40" t="s">
        <v>135</v>
      </c>
      <c r="BC50" s="9">
        <f>AW50+AX50</f>
        <v>0</v>
      </c>
      <c r="BD50" s="9">
        <f>H50/(100-BE50)*100</f>
        <v>0</v>
      </c>
      <c r="BE50" s="9">
        <v>0</v>
      </c>
      <c r="BF50" s="9">
        <f>50</f>
        <v>50</v>
      </c>
      <c r="BH50" s="9">
        <f>G50*AO50</f>
        <v>0</v>
      </c>
      <c r="BI50" s="9">
        <f>G50*AP50</f>
        <v>0</v>
      </c>
      <c r="BJ50" s="9">
        <f>G50*H50</f>
        <v>0</v>
      </c>
      <c r="BK50" s="9"/>
      <c r="BL50" s="9">
        <v>16</v>
      </c>
      <c r="BW50" s="9">
        <v>21</v>
      </c>
      <c r="BX50" s="62" t="s">
        <v>203</v>
      </c>
    </row>
    <row r="51" spans="1:76" x14ac:dyDescent="0.25">
      <c r="A51" s="52"/>
      <c r="D51" s="67" t="s">
        <v>204</v>
      </c>
      <c r="E51" s="67" t="s">
        <v>17</v>
      </c>
      <c r="G51" s="53">
        <v>458.32799999999997</v>
      </c>
      <c r="K51" s="46"/>
    </row>
    <row r="52" spans="1:76" x14ac:dyDescent="0.25">
      <c r="A52" s="50" t="s">
        <v>17</v>
      </c>
      <c r="B52" s="65" t="s">
        <v>17</v>
      </c>
      <c r="C52" s="65" t="s">
        <v>27</v>
      </c>
      <c r="D52" s="145" t="s">
        <v>28</v>
      </c>
      <c r="E52" s="146"/>
      <c r="F52" s="51" t="s">
        <v>3</v>
      </c>
      <c r="G52" s="51" t="s">
        <v>3</v>
      </c>
      <c r="H52" s="51" t="s">
        <v>3</v>
      </c>
      <c r="I52" s="33">
        <f>SUM(I53:I58)</f>
        <v>0</v>
      </c>
      <c r="K52" s="46"/>
      <c r="AI52" s="40" t="s">
        <v>17</v>
      </c>
      <c r="AS52" s="33">
        <f>SUM(AJ53:AJ58)</f>
        <v>0</v>
      </c>
      <c r="AT52" s="33">
        <f>SUM(AK53:AK58)</f>
        <v>0</v>
      </c>
      <c r="AU52" s="33">
        <f>SUM(AL53:AL58)</f>
        <v>0</v>
      </c>
    </row>
    <row r="53" spans="1:76" x14ac:dyDescent="0.25">
      <c r="A53" s="60" t="s">
        <v>205</v>
      </c>
      <c r="B53" s="61" t="s">
        <v>17</v>
      </c>
      <c r="C53" s="61" t="s">
        <v>206</v>
      </c>
      <c r="D53" s="72" t="s">
        <v>207</v>
      </c>
      <c r="E53" s="68"/>
      <c r="F53" s="61" t="s">
        <v>161</v>
      </c>
      <c r="G53" s="9">
        <v>218.25</v>
      </c>
      <c r="H53" s="165">
        <v>0</v>
      </c>
      <c r="I53" s="9">
        <f>G53*H53</f>
        <v>0</v>
      </c>
      <c r="K53" s="46"/>
      <c r="Z53" s="9">
        <f>IF(AQ53="5",BJ53,0)</f>
        <v>0</v>
      </c>
      <c r="AB53" s="9">
        <f>IF(AQ53="1",BH53,0)</f>
        <v>0</v>
      </c>
      <c r="AC53" s="9">
        <f>IF(AQ53="1",BI53,0)</f>
        <v>0</v>
      </c>
      <c r="AD53" s="9">
        <f>IF(AQ53="7",BH53,0)</f>
        <v>0</v>
      </c>
      <c r="AE53" s="9">
        <f>IF(AQ53="7",BI53,0)</f>
        <v>0</v>
      </c>
      <c r="AF53" s="9">
        <f>IF(AQ53="2",BH53,0)</f>
        <v>0</v>
      </c>
      <c r="AG53" s="9">
        <f>IF(AQ53="2",BI53,0)</f>
        <v>0</v>
      </c>
      <c r="AH53" s="9">
        <f>IF(AQ53="0",BJ53,0)</f>
        <v>0</v>
      </c>
      <c r="AI53" s="40" t="s">
        <v>17</v>
      </c>
      <c r="AJ53" s="9">
        <f>IF(AN53=0,I53,0)</f>
        <v>0</v>
      </c>
      <c r="AK53" s="9">
        <f>IF(AN53=12,I53,0)</f>
        <v>0</v>
      </c>
      <c r="AL53" s="9">
        <f>IF(AN53=21,I53,0)</f>
        <v>0</v>
      </c>
      <c r="AN53" s="9">
        <v>21</v>
      </c>
      <c r="AO53" s="9">
        <f>H53*0</f>
        <v>0</v>
      </c>
      <c r="AP53" s="9">
        <f>H53*(1-0)</f>
        <v>0</v>
      </c>
      <c r="AQ53" s="8" t="s">
        <v>129</v>
      </c>
      <c r="AV53" s="9">
        <f>AW53+AX53</f>
        <v>0</v>
      </c>
      <c r="AW53" s="9">
        <f>G53*AO53</f>
        <v>0</v>
      </c>
      <c r="AX53" s="9">
        <f>G53*AP53</f>
        <v>0</v>
      </c>
      <c r="AY53" s="8" t="s">
        <v>208</v>
      </c>
      <c r="AZ53" s="8" t="s">
        <v>157</v>
      </c>
      <c r="BA53" s="40" t="s">
        <v>135</v>
      </c>
      <c r="BC53" s="9">
        <f>AW53+AX53</f>
        <v>0</v>
      </c>
      <c r="BD53" s="9">
        <f>H53/(100-BE53)*100</f>
        <v>0</v>
      </c>
      <c r="BE53" s="9">
        <v>0</v>
      </c>
      <c r="BF53" s="9">
        <f>53</f>
        <v>53</v>
      </c>
      <c r="BH53" s="9">
        <f>G53*AO53</f>
        <v>0</v>
      </c>
      <c r="BI53" s="9">
        <f>G53*AP53</f>
        <v>0</v>
      </c>
      <c r="BJ53" s="9">
        <f>G53*H53</f>
        <v>0</v>
      </c>
      <c r="BK53" s="9"/>
      <c r="BL53" s="9">
        <v>18</v>
      </c>
      <c r="BW53" s="9">
        <v>21</v>
      </c>
      <c r="BX53" s="62" t="s">
        <v>207</v>
      </c>
    </row>
    <row r="54" spans="1:76" x14ac:dyDescent="0.25">
      <c r="A54" s="52"/>
      <c r="D54" s="67" t="s">
        <v>209</v>
      </c>
      <c r="E54" s="67" t="s">
        <v>17</v>
      </c>
      <c r="G54" s="53">
        <v>48.75</v>
      </c>
      <c r="K54" s="46"/>
    </row>
    <row r="55" spans="1:76" x14ac:dyDescent="0.25">
      <c r="A55" s="52"/>
      <c r="D55" s="67" t="s">
        <v>210</v>
      </c>
      <c r="E55" s="67" t="s">
        <v>17</v>
      </c>
      <c r="G55" s="53">
        <v>12</v>
      </c>
      <c r="K55" s="46"/>
    </row>
    <row r="56" spans="1:76" x14ac:dyDescent="0.25">
      <c r="A56" s="52"/>
      <c r="D56" s="67" t="s">
        <v>211</v>
      </c>
      <c r="E56" s="67" t="s">
        <v>17</v>
      </c>
      <c r="G56" s="53">
        <v>63</v>
      </c>
      <c r="K56" s="46"/>
    </row>
    <row r="57" spans="1:76" x14ac:dyDescent="0.25">
      <c r="A57" s="52"/>
      <c r="D57" s="67" t="s">
        <v>212</v>
      </c>
      <c r="E57" s="67" t="s">
        <v>17</v>
      </c>
      <c r="G57" s="53">
        <v>94.5</v>
      </c>
      <c r="K57" s="46"/>
    </row>
    <row r="58" spans="1:76" x14ac:dyDescent="0.25">
      <c r="A58" s="60" t="s">
        <v>27</v>
      </c>
      <c r="B58" s="61" t="s">
        <v>17</v>
      </c>
      <c r="C58" s="61" t="s">
        <v>213</v>
      </c>
      <c r="D58" s="72" t="s">
        <v>214</v>
      </c>
      <c r="E58" s="68"/>
      <c r="F58" s="61" t="s">
        <v>161</v>
      </c>
      <c r="G58" s="9">
        <v>60.125</v>
      </c>
      <c r="H58" s="165">
        <v>0</v>
      </c>
      <c r="I58" s="9">
        <f>G58*H58</f>
        <v>0</v>
      </c>
      <c r="K58" s="46"/>
      <c r="Z58" s="9">
        <f>IF(AQ58="5",BJ58,0)</f>
        <v>0</v>
      </c>
      <c r="AB58" s="9">
        <f>IF(AQ58="1",BH58,0)</f>
        <v>0</v>
      </c>
      <c r="AC58" s="9">
        <f>IF(AQ58="1",BI58,0)</f>
        <v>0</v>
      </c>
      <c r="AD58" s="9">
        <f>IF(AQ58="7",BH58,0)</f>
        <v>0</v>
      </c>
      <c r="AE58" s="9">
        <f>IF(AQ58="7",BI58,0)</f>
        <v>0</v>
      </c>
      <c r="AF58" s="9">
        <f>IF(AQ58="2",BH58,0)</f>
        <v>0</v>
      </c>
      <c r="AG58" s="9">
        <f>IF(AQ58="2",BI58,0)</f>
        <v>0</v>
      </c>
      <c r="AH58" s="9">
        <f>IF(AQ58="0",BJ58,0)</f>
        <v>0</v>
      </c>
      <c r="AI58" s="40" t="s">
        <v>17</v>
      </c>
      <c r="AJ58" s="9">
        <f>IF(AN58=0,I58,0)</f>
        <v>0</v>
      </c>
      <c r="AK58" s="9">
        <f>IF(AN58=12,I58,0)</f>
        <v>0</v>
      </c>
      <c r="AL58" s="9">
        <f>IF(AN58=21,I58,0)</f>
        <v>0</v>
      </c>
      <c r="AN58" s="9">
        <v>21</v>
      </c>
      <c r="AO58" s="9">
        <f>H58*0.19328178</f>
        <v>0</v>
      </c>
      <c r="AP58" s="9">
        <f>H58*(1-0.19328178)</f>
        <v>0</v>
      </c>
      <c r="AQ58" s="8" t="s">
        <v>129</v>
      </c>
      <c r="AV58" s="9">
        <f>AW58+AX58</f>
        <v>0</v>
      </c>
      <c r="AW58" s="9">
        <f>G58*AO58</f>
        <v>0</v>
      </c>
      <c r="AX58" s="9">
        <f>G58*AP58</f>
        <v>0</v>
      </c>
      <c r="AY58" s="8" t="s">
        <v>208</v>
      </c>
      <c r="AZ58" s="8" t="s">
        <v>157</v>
      </c>
      <c r="BA58" s="40" t="s">
        <v>135</v>
      </c>
      <c r="BC58" s="9">
        <f>AW58+AX58</f>
        <v>0</v>
      </c>
      <c r="BD58" s="9">
        <f>H58/(100-BE58)*100</f>
        <v>0</v>
      </c>
      <c r="BE58" s="9">
        <v>0</v>
      </c>
      <c r="BF58" s="9">
        <f>58</f>
        <v>58</v>
      </c>
      <c r="BH58" s="9">
        <f>G58*AO58</f>
        <v>0</v>
      </c>
      <c r="BI58" s="9">
        <f>G58*AP58</f>
        <v>0</v>
      </c>
      <c r="BJ58" s="9">
        <f>G58*H58</f>
        <v>0</v>
      </c>
      <c r="BK58" s="9"/>
      <c r="BL58" s="9">
        <v>18</v>
      </c>
      <c r="BW58" s="9">
        <v>21</v>
      </c>
      <c r="BX58" s="62" t="s">
        <v>214</v>
      </c>
    </row>
    <row r="59" spans="1:76" x14ac:dyDescent="0.25">
      <c r="A59" s="52"/>
      <c r="D59" s="67" t="s">
        <v>215</v>
      </c>
      <c r="E59" s="67" t="s">
        <v>17</v>
      </c>
      <c r="G59" s="53">
        <v>37.625</v>
      </c>
      <c r="K59" s="46"/>
    </row>
    <row r="60" spans="1:76" x14ac:dyDescent="0.25">
      <c r="A60" s="52"/>
      <c r="D60" s="67" t="s">
        <v>216</v>
      </c>
      <c r="E60" s="67" t="s">
        <v>17</v>
      </c>
      <c r="G60" s="53">
        <v>9</v>
      </c>
      <c r="K60" s="46"/>
    </row>
    <row r="61" spans="1:76" x14ac:dyDescent="0.25">
      <c r="A61" s="52"/>
      <c r="D61" s="67" t="s">
        <v>217</v>
      </c>
      <c r="E61" s="67" t="s">
        <v>17</v>
      </c>
      <c r="G61" s="53">
        <v>13.5</v>
      </c>
      <c r="K61" s="46"/>
    </row>
    <row r="62" spans="1:76" x14ac:dyDescent="0.25">
      <c r="A62" s="50" t="s">
        <v>17</v>
      </c>
      <c r="B62" s="65" t="s">
        <v>17</v>
      </c>
      <c r="C62" s="65" t="s">
        <v>29</v>
      </c>
      <c r="D62" s="145" t="s">
        <v>30</v>
      </c>
      <c r="E62" s="146"/>
      <c r="F62" s="51" t="s">
        <v>3</v>
      </c>
      <c r="G62" s="51" t="s">
        <v>3</v>
      </c>
      <c r="H62" s="51" t="s">
        <v>3</v>
      </c>
      <c r="I62" s="33">
        <f>SUM(I63:I63)</f>
        <v>0</v>
      </c>
      <c r="K62" s="46"/>
      <c r="AI62" s="40" t="s">
        <v>17</v>
      </c>
      <c r="AS62" s="33">
        <f>SUM(AJ63:AJ63)</f>
        <v>0</v>
      </c>
      <c r="AT62" s="33">
        <f>SUM(AK63:AK63)</f>
        <v>0</v>
      </c>
      <c r="AU62" s="33">
        <f>SUM(AL63:AL63)</f>
        <v>0</v>
      </c>
    </row>
    <row r="63" spans="1:76" x14ac:dyDescent="0.25">
      <c r="A63" s="60" t="s">
        <v>29</v>
      </c>
      <c r="B63" s="61" t="s">
        <v>17</v>
      </c>
      <c r="C63" s="61" t="s">
        <v>218</v>
      </c>
      <c r="D63" s="72" t="s">
        <v>219</v>
      </c>
      <c r="E63" s="68"/>
      <c r="F63" s="61" t="s">
        <v>188</v>
      </c>
      <c r="G63" s="9">
        <v>76.388000000000005</v>
      </c>
      <c r="H63" s="165">
        <v>0</v>
      </c>
      <c r="I63" s="9">
        <f>G63*H63</f>
        <v>0</v>
      </c>
      <c r="K63" s="46"/>
      <c r="Z63" s="9">
        <f>IF(AQ63="5",BJ63,0)</f>
        <v>0</v>
      </c>
      <c r="AB63" s="9">
        <f>IF(AQ63="1",BH63,0)</f>
        <v>0</v>
      </c>
      <c r="AC63" s="9">
        <f>IF(AQ63="1",BI63,0)</f>
        <v>0</v>
      </c>
      <c r="AD63" s="9">
        <f>IF(AQ63="7",BH63,0)</f>
        <v>0</v>
      </c>
      <c r="AE63" s="9">
        <f>IF(AQ63="7",BI63,0)</f>
        <v>0</v>
      </c>
      <c r="AF63" s="9">
        <f>IF(AQ63="2",BH63,0)</f>
        <v>0</v>
      </c>
      <c r="AG63" s="9">
        <f>IF(AQ63="2",BI63,0)</f>
        <v>0</v>
      </c>
      <c r="AH63" s="9">
        <f>IF(AQ63="0",BJ63,0)</f>
        <v>0</v>
      </c>
      <c r="AI63" s="40" t="s">
        <v>17</v>
      </c>
      <c r="AJ63" s="9">
        <f>IF(AN63=0,I63,0)</f>
        <v>0</v>
      </c>
      <c r="AK63" s="9">
        <f>IF(AN63=12,I63,0)</f>
        <v>0</v>
      </c>
      <c r="AL63" s="9">
        <f>IF(AN63=21,I63,0)</f>
        <v>0</v>
      </c>
      <c r="AN63" s="9">
        <v>21</v>
      </c>
      <c r="AO63" s="9">
        <f>H63*0</f>
        <v>0</v>
      </c>
      <c r="AP63" s="9">
        <f>H63*(1-0)</f>
        <v>0</v>
      </c>
      <c r="AQ63" s="8" t="s">
        <v>129</v>
      </c>
      <c r="AV63" s="9">
        <f>AW63+AX63</f>
        <v>0</v>
      </c>
      <c r="AW63" s="9">
        <f>G63*AO63</f>
        <v>0</v>
      </c>
      <c r="AX63" s="9">
        <f>G63*AP63</f>
        <v>0</v>
      </c>
      <c r="AY63" s="8" t="s">
        <v>220</v>
      </c>
      <c r="AZ63" s="8" t="s">
        <v>157</v>
      </c>
      <c r="BA63" s="40" t="s">
        <v>135</v>
      </c>
      <c r="BC63" s="9">
        <f>AW63+AX63</f>
        <v>0</v>
      </c>
      <c r="BD63" s="9">
        <f>H63/(100-BE63)*100</f>
        <v>0</v>
      </c>
      <c r="BE63" s="9">
        <v>0</v>
      </c>
      <c r="BF63" s="9">
        <f>63</f>
        <v>63</v>
      </c>
      <c r="BH63" s="9">
        <f>G63*AO63</f>
        <v>0</v>
      </c>
      <c r="BI63" s="9">
        <f>G63*AP63</f>
        <v>0</v>
      </c>
      <c r="BJ63" s="9">
        <f>G63*H63</f>
        <v>0</v>
      </c>
      <c r="BK63" s="9"/>
      <c r="BL63" s="9">
        <v>19</v>
      </c>
      <c r="BW63" s="9">
        <v>21</v>
      </c>
      <c r="BX63" s="62" t="s">
        <v>219</v>
      </c>
    </row>
    <row r="64" spans="1:76" x14ac:dyDescent="0.25">
      <c r="A64" s="50" t="s">
        <v>17</v>
      </c>
      <c r="B64" s="65" t="s">
        <v>17</v>
      </c>
      <c r="C64" s="65" t="s">
        <v>31</v>
      </c>
      <c r="D64" s="145" t="s">
        <v>32</v>
      </c>
      <c r="E64" s="146"/>
      <c r="F64" s="51" t="s">
        <v>3</v>
      </c>
      <c r="G64" s="51" t="s">
        <v>3</v>
      </c>
      <c r="H64" s="51" t="s">
        <v>3</v>
      </c>
      <c r="I64" s="33">
        <f>SUM(I65:I68)</f>
        <v>0</v>
      </c>
      <c r="K64" s="46"/>
      <c r="AI64" s="40" t="s">
        <v>17</v>
      </c>
      <c r="AS64" s="33">
        <f>SUM(AJ65:AJ68)</f>
        <v>0</v>
      </c>
      <c r="AT64" s="33">
        <f>SUM(AK65:AK68)</f>
        <v>0</v>
      </c>
      <c r="AU64" s="33">
        <f>SUM(AL65:AL68)</f>
        <v>0</v>
      </c>
    </row>
    <row r="65" spans="1:76" x14ac:dyDescent="0.25">
      <c r="A65" s="60" t="s">
        <v>221</v>
      </c>
      <c r="B65" s="61" t="s">
        <v>17</v>
      </c>
      <c r="C65" s="61" t="s">
        <v>222</v>
      </c>
      <c r="D65" s="72" t="s">
        <v>223</v>
      </c>
      <c r="E65" s="68"/>
      <c r="F65" s="61" t="s">
        <v>161</v>
      </c>
      <c r="G65" s="9">
        <v>218.25</v>
      </c>
      <c r="H65" s="165">
        <v>0</v>
      </c>
      <c r="I65" s="9">
        <f>G65*H65</f>
        <v>0</v>
      </c>
      <c r="K65" s="46"/>
      <c r="Z65" s="9">
        <f>IF(AQ65="5",BJ65,0)</f>
        <v>0</v>
      </c>
      <c r="AB65" s="9">
        <f>IF(AQ65="1",BH65,0)</f>
        <v>0</v>
      </c>
      <c r="AC65" s="9">
        <f>IF(AQ65="1",BI65,0)</f>
        <v>0</v>
      </c>
      <c r="AD65" s="9">
        <f>IF(AQ65="7",BH65,0)</f>
        <v>0</v>
      </c>
      <c r="AE65" s="9">
        <f>IF(AQ65="7",BI65,0)</f>
        <v>0</v>
      </c>
      <c r="AF65" s="9">
        <f>IF(AQ65="2",BH65,0)</f>
        <v>0</v>
      </c>
      <c r="AG65" s="9">
        <f>IF(AQ65="2",BI65,0)</f>
        <v>0</v>
      </c>
      <c r="AH65" s="9">
        <f>IF(AQ65="0",BJ65,0)</f>
        <v>0</v>
      </c>
      <c r="AI65" s="40" t="s">
        <v>17</v>
      </c>
      <c r="AJ65" s="9">
        <f>IF(AN65=0,I65,0)</f>
        <v>0</v>
      </c>
      <c r="AK65" s="9">
        <f>IF(AN65=12,I65,0)</f>
        <v>0</v>
      </c>
      <c r="AL65" s="9">
        <f>IF(AN65=21,I65,0)</f>
        <v>0</v>
      </c>
      <c r="AN65" s="9">
        <v>21</v>
      </c>
      <c r="AO65" s="9">
        <f>H65*0.867807236</f>
        <v>0</v>
      </c>
      <c r="AP65" s="9">
        <f>H65*(1-0.867807236)</f>
        <v>0</v>
      </c>
      <c r="AQ65" s="8" t="s">
        <v>129</v>
      </c>
      <c r="AV65" s="9">
        <f>AW65+AX65</f>
        <v>0</v>
      </c>
      <c r="AW65" s="9">
        <f>G65*AO65</f>
        <v>0</v>
      </c>
      <c r="AX65" s="9">
        <f>G65*AP65</f>
        <v>0</v>
      </c>
      <c r="AY65" s="8" t="s">
        <v>224</v>
      </c>
      <c r="AZ65" s="8" t="s">
        <v>225</v>
      </c>
      <c r="BA65" s="40" t="s">
        <v>135</v>
      </c>
      <c r="BC65" s="9">
        <f>AW65+AX65</f>
        <v>0</v>
      </c>
      <c r="BD65" s="9">
        <f>H65/(100-BE65)*100</f>
        <v>0</v>
      </c>
      <c r="BE65" s="9">
        <v>0</v>
      </c>
      <c r="BF65" s="9">
        <f>65</f>
        <v>65</v>
      </c>
      <c r="BH65" s="9">
        <f>G65*AO65</f>
        <v>0</v>
      </c>
      <c r="BI65" s="9">
        <f>G65*AP65</f>
        <v>0</v>
      </c>
      <c r="BJ65" s="9">
        <f>G65*H65</f>
        <v>0</v>
      </c>
      <c r="BK65" s="9"/>
      <c r="BL65" s="9">
        <v>56</v>
      </c>
      <c r="BW65" s="9">
        <v>21</v>
      </c>
      <c r="BX65" s="62" t="s">
        <v>223</v>
      </c>
    </row>
    <row r="66" spans="1:76" x14ac:dyDescent="0.25">
      <c r="A66" s="60" t="s">
        <v>226</v>
      </c>
      <c r="B66" s="61" t="s">
        <v>17</v>
      </c>
      <c r="C66" s="61" t="s">
        <v>227</v>
      </c>
      <c r="D66" s="72" t="s">
        <v>228</v>
      </c>
      <c r="E66" s="68"/>
      <c r="F66" s="61" t="s">
        <v>188</v>
      </c>
      <c r="G66" s="9">
        <v>9.0190000000000001</v>
      </c>
      <c r="H66" s="165">
        <v>0</v>
      </c>
      <c r="I66" s="9">
        <f>G66*H66</f>
        <v>0</v>
      </c>
      <c r="K66" s="46"/>
      <c r="Z66" s="9">
        <f>IF(AQ66="5",BJ66,0)</f>
        <v>0</v>
      </c>
      <c r="AB66" s="9">
        <f>IF(AQ66="1",BH66,0)</f>
        <v>0</v>
      </c>
      <c r="AC66" s="9">
        <f>IF(AQ66="1",BI66,0)</f>
        <v>0</v>
      </c>
      <c r="AD66" s="9">
        <f>IF(AQ66="7",BH66,0)</f>
        <v>0</v>
      </c>
      <c r="AE66" s="9">
        <f>IF(AQ66="7",BI66,0)</f>
        <v>0</v>
      </c>
      <c r="AF66" s="9">
        <f>IF(AQ66="2",BH66,0)</f>
        <v>0</v>
      </c>
      <c r="AG66" s="9">
        <f>IF(AQ66="2",BI66,0)</f>
        <v>0</v>
      </c>
      <c r="AH66" s="9">
        <f>IF(AQ66="0",BJ66,0)</f>
        <v>0</v>
      </c>
      <c r="AI66" s="40" t="s">
        <v>17</v>
      </c>
      <c r="AJ66" s="9">
        <f>IF(AN66=0,I66,0)</f>
        <v>0</v>
      </c>
      <c r="AK66" s="9">
        <f>IF(AN66=12,I66,0)</f>
        <v>0</v>
      </c>
      <c r="AL66" s="9">
        <f>IF(AN66=21,I66,0)</f>
        <v>0</v>
      </c>
      <c r="AN66" s="9">
        <v>21</v>
      </c>
      <c r="AO66" s="9">
        <f>H66*0</f>
        <v>0</v>
      </c>
      <c r="AP66" s="9">
        <f>H66*(1-0)</f>
        <v>0</v>
      </c>
      <c r="AQ66" s="8" t="s">
        <v>129</v>
      </c>
      <c r="AV66" s="9">
        <f>AW66+AX66</f>
        <v>0</v>
      </c>
      <c r="AW66" s="9">
        <f>G66*AO66</f>
        <v>0</v>
      </c>
      <c r="AX66" s="9">
        <f>G66*AP66</f>
        <v>0</v>
      </c>
      <c r="AY66" s="8" t="s">
        <v>224</v>
      </c>
      <c r="AZ66" s="8" t="s">
        <v>225</v>
      </c>
      <c r="BA66" s="40" t="s">
        <v>135</v>
      </c>
      <c r="BC66" s="9">
        <f>AW66+AX66</f>
        <v>0</v>
      </c>
      <c r="BD66" s="9">
        <f>H66/(100-BE66)*100</f>
        <v>0</v>
      </c>
      <c r="BE66" s="9">
        <v>0</v>
      </c>
      <c r="BF66" s="9">
        <f>66</f>
        <v>66</v>
      </c>
      <c r="BH66" s="9">
        <f>G66*AO66</f>
        <v>0</v>
      </c>
      <c r="BI66" s="9">
        <f>G66*AP66</f>
        <v>0</v>
      </c>
      <c r="BJ66" s="9">
        <f>G66*H66</f>
        <v>0</v>
      </c>
      <c r="BK66" s="9"/>
      <c r="BL66" s="9">
        <v>56</v>
      </c>
      <c r="BW66" s="9">
        <v>21</v>
      </c>
      <c r="BX66" s="62" t="s">
        <v>228</v>
      </c>
    </row>
    <row r="67" spans="1:76" x14ac:dyDescent="0.25">
      <c r="A67" s="52"/>
      <c r="D67" s="67" t="s">
        <v>229</v>
      </c>
      <c r="E67" s="67" t="s">
        <v>17</v>
      </c>
      <c r="G67" s="53">
        <v>9.0190000000000001</v>
      </c>
      <c r="K67" s="46"/>
    </row>
    <row r="68" spans="1:76" x14ac:dyDescent="0.25">
      <c r="A68" s="60" t="s">
        <v>230</v>
      </c>
      <c r="B68" s="61" t="s">
        <v>17</v>
      </c>
      <c r="C68" s="61" t="s">
        <v>231</v>
      </c>
      <c r="D68" s="72" t="s">
        <v>232</v>
      </c>
      <c r="E68" s="68"/>
      <c r="F68" s="61" t="s">
        <v>188</v>
      </c>
      <c r="G68" s="9">
        <v>9.0190000000000001</v>
      </c>
      <c r="H68" s="165">
        <v>0</v>
      </c>
      <c r="I68" s="9">
        <f>G68*H68</f>
        <v>0</v>
      </c>
      <c r="K68" s="46"/>
      <c r="Z68" s="9">
        <f>IF(AQ68="5",BJ68,0)</f>
        <v>0</v>
      </c>
      <c r="AB68" s="9">
        <f>IF(AQ68="1",BH68,0)</f>
        <v>0</v>
      </c>
      <c r="AC68" s="9">
        <f>IF(AQ68="1",BI68,0)</f>
        <v>0</v>
      </c>
      <c r="AD68" s="9">
        <f>IF(AQ68="7",BH68,0)</f>
        <v>0</v>
      </c>
      <c r="AE68" s="9">
        <f>IF(AQ68="7",BI68,0)</f>
        <v>0</v>
      </c>
      <c r="AF68" s="9">
        <f>IF(AQ68="2",BH68,0)</f>
        <v>0</v>
      </c>
      <c r="AG68" s="9">
        <f>IF(AQ68="2",BI68,0)</f>
        <v>0</v>
      </c>
      <c r="AH68" s="9">
        <f>IF(AQ68="0",BJ68,0)</f>
        <v>0</v>
      </c>
      <c r="AI68" s="40" t="s">
        <v>17</v>
      </c>
      <c r="AJ68" s="9">
        <f>IF(AN68=0,I68,0)</f>
        <v>0</v>
      </c>
      <c r="AK68" s="9">
        <f>IF(AN68=12,I68,0)</f>
        <v>0</v>
      </c>
      <c r="AL68" s="9">
        <f>IF(AN68=21,I68,0)</f>
        <v>0</v>
      </c>
      <c r="AN68" s="9">
        <v>21</v>
      </c>
      <c r="AO68" s="9">
        <f>H68*1</f>
        <v>0</v>
      </c>
      <c r="AP68" s="9">
        <f>H68*(1-1)</f>
        <v>0</v>
      </c>
      <c r="AQ68" s="8" t="s">
        <v>129</v>
      </c>
      <c r="AV68" s="9">
        <f>AW68+AX68</f>
        <v>0</v>
      </c>
      <c r="AW68" s="9">
        <f>G68*AO68</f>
        <v>0</v>
      </c>
      <c r="AX68" s="9">
        <f>G68*AP68</f>
        <v>0</v>
      </c>
      <c r="AY68" s="8" t="s">
        <v>224</v>
      </c>
      <c r="AZ68" s="8" t="s">
        <v>225</v>
      </c>
      <c r="BA68" s="40" t="s">
        <v>135</v>
      </c>
      <c r="BC68" s="9">
        <f>AW68+AX68</f>
        <v>0</v>
      </c>
      <c r="BD68" s="9">
        <f>H68/(100-BE68)*100</f>
        <v>0</v>
      </c>
      <c r="BE68" s="9">
        <v>0</v>
      </c>
      <c r="BF68" s="9">
        <f>68</f>
        <v>68</v>
      </c>
      <c r="BH68" s="9">
        <f>G68*AO68</f>
        <v>0</v>
      </c>
      <c r="BI68" s="9">
        <f>G68*AP68</f>
        <v>0</v>
      </c>
      <c r="BJ68" s="9">
        <f>G68*H68</f>
        <v>0</v>
      </c>
      <c r="BK68" s="9"/>
      <c r="BL68" s="9">
        <v>56</v>
      </c>
      <c r="BW68" s="9">
        <v>21</v>
      </c>
      <c r="BX68" s="62" t="s">
        <v>232</v>
      </c>
    </row>
    <row r="69" spans="1:76" x14ac:dyDescent="0.25">
      <c r="A69" s="50" t="s">
        <v>17</v>
      </c>
      <c r="B69" s="65" t="s">
        <v>17</v>
      </c>
      <c r="C69" s="65" t="s">
        <v>33</v>
      </c>
      <c r="D69" s="145" t="s">
        <v>34</v>
      </c>
      <c r="E69" s="146"/>
      <c r="F69" s="51" t="s">
        <v>3</v>
      </c>
      <c r="G69" s="51" t="s">
        <v>3</v>
      </c>
      <c r="H69" s="51" t="s">
        <v>3</v>
      </c>
      <c r="I69" s="33">
        <f>SUM(I70:I70)</f>
        <v>0</v>
      </c>
      <c r="K69" s="46"/>
      <c r="AI69" s="40" t="s">
        <v>17</v>
      </c>
      <c r="AS69" s="33">
        <f>SUM(AJ70:AJ70)</f>
        <v>0</v>
      </c>
      <c r="AT69" s="33">
        <f>SUM(AK70:AK70)</f>
        <v>0</v>
      </c>
      <c r="AU69" s="33">
        <f>SUM(AL70:AL70)</f>
        <v>0</v>
      </c>
    </row>
    <row r="70" spans="1:76" x14ac:dyDescent="0.25">
      <c r="A70" s="60" t="s">
        <v>233</v>
      </c>
      <c r="B70" s="61" t="s">
        <v>17</v>
      </c>
      <c r="C70" s="61" t="s">
        <v>234</v>
      </c>
      <c r="D70" s="72" t="s">
        <v>235</v>
      </c>
      <c r="E70" s="68"/>
      <c r="F70" s="61" t="s">
        <v>161</v>
      </c>
      <c r="G70" s="9">
        <v>1</v>
      </c>
      <c r="H70" s="165">
        <v>0</v>
      </c>
      <c r="I70" s="9">
        <f>G70*H70</f>
        <v>0</v>
      </c>
      <c r="K70" s="46"/>
      <c r="Z70" s="9">
        <f>IF(AQ70="5",BJ70,0)</f>
        <v>0</v>
      </c>
      <c r="AB70" s="9">
        <f>IF(AQ70="1",BH70,0)</f>
        <v>0</v>
      </c>
      <c r="AC70" s="9">
        <f>IF(AQ70="1",BI70,0)</f>
        <v>0</v>
      </c>
      <c r="AD70" s="9">
        <f>IF(AQ70="7",BH70,0)</f>
        <v>0</v>
      </c>
      <c r="AE70" s="9">
        <f>IF(AQ70="7",BI70,0)</f>
        <v>0</v>
      </c>
      <c r="AF70" s="9">
        <f>IF(AQ70="2",BH70,0)</f>
        <v>0</v>
      </c>
      <c r="AG70" s="9">
        <f>IF(AQ70="2",BI70,0)</f>
        <v>0</v>
      </c>
      <c r="AH70" s="9">
        <f>IF(AQ70="0",BJ70,0)</f>
        <v>0</v>
      </c>
      <c r="AI70" s="40" t="s">
        <v>17</v>
      </c>
      <c r="AJ70" s="9">
        <f>IF(AN70=0,I70,0)</f>
        <v>0</v>
      </c>
      <c r="AK70" s="9">
        <f>IF(AN70=12,I70,0)</f>
        <v>0</v>
      </c>
      <c r="AL70" s="9">
        <f>IF(AN70=21,I70,0)</f>
        <v>0</v>
      </c>
      <c r="AN70" s="9">
        <v>21</v>
      </c>
      <c r="AO70" s="9">
        <f>H70*0.922403314</f>
        <v>0</v>
      </c>
      <c r="AP70" s="9">
        <f>H70*(1-0.922403314)</f>
        <v>0</v>
      </c>
      <c r="AQ70" s="8" t="s">
        <v>129</v>
      </c>
      <c r="AV70" s="9">
        <f>AW70+AX70</f>
        <v>0</v>
      </c>
      <c r="AW70" s="9">
        <f>G70*AO70</f>
        <v>0</v>
      </c>
      <c r="AX70" s="9">
        <f>G70*AP70</f>
        <v>0</v>
      </c>
      <c r="AY70" s="8" t="s">
        <v>236</v>
      </c>
      <c r="AZ70" s="8" t="s">
        <v>225</v>
      </c>
      <c r="BA70" s="40" t="s">
        <v>135</v>
      </c>
      <c r="BC70" s="9">
        <f>AW70+AX70</f>
        <v>0</v>
      </c>
      <c r="BD70" s="9">
        <f>H70/(100-BE70)*100</f>
        <v>0</v>
      </c>
      <c r="BE70" s="9">
        <v>0</v>
      </c>
      <c r="BF70" s="9">
        <f>70</f>
        <v>70</v>
      </c>
      <c r="BH70" s="9">
        <f>G70*AO70</f>
        <v>0</v>
      </c>
      <c r="BI70" s="9">
        <f>G70*AP70</f>
        <v>0</v>
      </c>
      <c r="BJ70" s="9">
        <f>G70*H70</f>
        <v>0</v>
      </c>
      <c r="BK70" s="9"/>
      <c r="BL70" s="9">
        <v>58</v>
      </c>
      <c r="BW70" s="9">
        <v>21</v>
      </c>
      <c r="BX70" s="62" t="s">
        <v>235</v>
      </c>
    </row>
    <row r="71" spans="1:76" ht="63.75" x14ac:dyDescent="0.25">
      <c r="A71" s="52"/>
      <c r="C71" s="54" t="s">
        <v>181</v>
      </c>
      <c r="D71" s="147" t="s">
        <v>237</v>
      </c>
      <c r="E71" s="148"/>
      <c r="F71" s="148"/>
      <c r="G71" s="148"/>
      <c r="H71" s="148"/>
      <c r="I71" s="148"/>
      <c r="J71" s="148"/>
      <c r="K71" s="149"/>
      <c r="BX71" s="66" t="s">
        <v>237</v>
      </c>
    </row>
    <row r="72" spans="1:76" x14ac:dyDescent="0.25">
      <c r="A72" s="50" t="s">
        <v>17</v>
      </c>
      <c r="B72" s="65" t="s">
        <v>17</v>
      </c>
      <c r="C72" s="65" t="s">
        <v>35</v>
      </c>
      <c r="D72" s="145" t="s">
        <v>36</v>
      </c>
      <c r="E72" s="146"/>
      <c r="F72" s="51" t="s">
        <v>3</v>
      </c>
      <c r="G72" s="51" t="s">
        <v>3</v>
      </c>
      <c r="H72" s="51" t="s">
        <v>3</v>
      </c>
      <c r="I72" s="33">
        <f>SUM(I73:I87)</f>
        <v>0</v>
      </c>
      <c r="K72" s="46"/>
      <c r="AI72" s="40" t="s">
        <v>17</v>
      </c>
      <c r="AS72" s="33">
        <f>SUM(AJ73:AJ87)</f>
        <v>0</v>
      </c>
      <c r="AT72" s="33">
        <f>SUM(AK73:AK87)</f>
        <v>0</v>
      </c>
      <c r="AU72" s="33">
        <f>SUM(AL73:AL87)</f>
        <v>0</v>
      </c>
    </row>
    <row r="73" spans="1:76" x14ac:dyDescent="0.25">
      <c r="A73" s="60" t="s">
        <v>238</v>
      </c>
      <c r="B73" s="61" t="s">
        <v>17</v>
      </c>
      <c r="C73" s="61" t="s">
        <v>239</v>
      </c>
      <c r="D73" s="72" t="s">
        <v>240</v>
      </c>
      <c r="E73" s="68"/>
      <c r="F73" s="61" t="s">
        <v>161</v>
      </c>
      <c r="G73" s="9">
        <v>194.245</v>
      </c>
      <c r="H73" s="165">
        <v>0</v>
      </c>
      <c r="I73" s="9">
        <f>G73*H73</f>
        <v>0</v>
      </c>
      <c r="K73" s="46"/>
      <c r="Z73" s="9">
        <f>IF(AQ73="5",BJ73,0)</f>
        <v>0</v>
      </c>
      <c r="AB73" s="9">
        <f>IF(AQ73="1",BH73,0)</f>
        <v>0</v>
      </c>
      <c r="AC73" s="9">
        <f>IF(AQ73="1",BI73,0)</f>
        <v>0</v>
      </c>
      <c r="AD73" s="9">
        <f>IF(AQ73="7",BH73,0)</f>
        <v>0</v>
      </c>
      <c r="AE73" s="9">
        <f>IF(AQ73="7",BI73,0)</f>
        <v>0</v>
      </c>
      <c r="AF73" s="9">
        <f>IF(AQ73="2",BH73,0)</f>
        <v>0</v>
      </c>
      <c r="AG73" s="9">
        <f>IF(AQ73="2",BI73,0)</f>
        <v>0</v>
      </c>
      <c r="AH73" s="9">
        <f>IF(AQ73="0",BJ73,0)</f>
        <v>0</v>
      </c>
      <c r="AI73" s="40" t="s">
        <v>17</v>
      </c>
      <c r="AJ73" s="9">
        <f>IF(AN73=0,I73,0)</f>
        <v>0</v>
      </c>
      <c r="AK73" s="9">
        <f>IF(AN73=12,I73,0)</f>
        <v>0</v>
      </c>
      <c r="AL73" s="9">
        <f>IF(AN73=21,I73,0)</f>
        <v>0</v>
      </c>
      <c r="AN73" s="9">
        <v>21</v>
      </c>
      <c r="AO73" s="9">
        <f>H73*0.16189229</f>
        <v>0</v>
      </c>
      <c r="AP73" s="9">
        <f>H73*(1-0.16189229)</f>
        <v>0</v>
      </c>
      <c r="AQ73" s="8" t="s">
        <v>129</v>
      </c>
      <c r="AV73" s="9">
        <f>AW73+AX73</f>
        <v>0</v>
      </c>
      <c r="AW73" s="9">
        <f>G73*AO73</f>
        <v>0</v>
      </c>
      <c r="AX73" s="9">
        <f>G73*AP73</f>
        <v>0</v>
      </c>
      <c r="AY73" s="8" t="s">
        <v>241</v>
      </c>
      <c r="AZ73" s="8" t="s">
        <v>225</v>
      </c>
      <c r="BA73" s="40" t="s">
        <v>135</v>
      </c>
      <c r="BC73" s="9">
        <f>AW73+AX73</f>
        <v>0</v>
      </c>
      <c r="BD73" s="9">
        <f>H73/(100-BE73)*100</f>
        <v>0</v>
      </c>
      <c r="BE73" s="9">
        <v>0</v>
      </c>
      <c r="BF73" s="9">
        <f>73</f>
        <v>73</v>
      </c>
      <c r="BH73" s="9">
        <f>G73*AO73</f>
        <v>0</v>
      </c>
      <c r="BI73" s="9">
        <f>G73*AP73</f>
        <v>0</v>
      </c>
      <c r="BJ73" s="9">
        <f>G73*H73</f>
        <v>0</v>
      </c>
      <c r="BK73" s="9"/>
      <c r="BL73" s="9">
        <v>59</v>
      </c>
      <c r="BW73" s="9">
        <v>21</v>
      </c>
      <c r="BX73" s="62" t="s">
        <v>240</v>
      </c>
    </row>
    <row r="74" spans="1:76" x14ac:dyDescent="0.25">
      <c r="A74" s="52"/>
      <c r="D74" s="67" t="s">
        <v>242</v>
      </c>
      <c r="E74" s="67" t="s">
        <v>17</v>
      </c>
      <c r="G74" s="53">
        <v>39</v>
      </c>
      <c r="K74" s="46"/>
    </row>
    <row r="75" spans="1:76" x14ac:dyDescent="0.25">
      <c r="A75" s="52"/>
      <c r="D75" s="67" t="s">
        <v>178</v>
      </c>
      <c r="E75" s="67" t="s">
        <v>17</v>
      </c>
      <c r="G75" s="53">
        <v>12.1</v>
      </c>
      <c r="K75" s="46"/>
    </row>
    <row r="76" spans="1:76" x14ac:dyDescent="0.25">
      <c r="A76" s="52"/>
      <c r="D76" s="67" t="s">
        <v>243</v>
      </c>
      <c r="E76" s="67" t="s">
        <v>17</v>
      </c>
      <c r="G76" s="53">
        <v>54</v>
      </c>
      <c r="K76" s="46"/>
    </row>
    <row r="77" spans="1:76" x14ac:dyDescent="0.25">
      <c r="A77" s="52"/>
      <c r="D77" s="67" t="s">
        <v>244</v>
      </c>
      <c r="E77" s="67" t="s">
        <v>17</v>
      </c>
      <c r="G77" s="53">
        <v>81</v>
      </c>
      <c r="K77" s="46"/>
    </row>
    <row r="78" spans="1:76" x14ac:dyDescent="0.25">
      <c r="A78" s="52"/>
      <c r="D78" s="67" t="s">
        <v>245</v>
      </c>
      <c r="E78" s="67" t="s">
        <v>17</v>
      </c>
      <c r="G78" s="53">
        <v>0</v>
      </c>
      <c r="K78" s="46"/>
    </row>
    <row r="79" spans="1:76" x14ac:dyDescent="0.25">
      <c r="A79" s="52"/>
      <c r="D79" s="67" t="s">
        <v>246</v>
      </c>
      <c r="E79" s="67" t="s">
        <v>17</v>
      </c>
      <c r="G79" s="53">
        <v>8.1449999999999996</v>
      </c>
      <c r="K79" s="46"/>
    </row>
    <row r="80" spans="1:76" x14ac:dyDescent="0.25">
      <c r="A80" s="60" t="s">
        <v>247</v>
      </c>
      <c r="B80" s="61" t="s">
        <v>17</v>
      </c>
      <c r="C80" s="61" t="s">
        <v>248</v>
      </c>
      <c r="D80" s="72" t="s">
        <v>249</v>
      </c>
      <c r="E80" s="68"/>
      <c r="F80" s="61" t="s">
        <v>155</v>
      </c>
      <c r="G80" s="9">
        <v>72.7</v>
      </c>
      <c r="H80" s="165">
        <v>0</v>
      </c>
      <c r="I80" s="9">
        <f>G80*H80</f>
        <v>0</v>
      </c>
      <c r="K80" s="46"/>
      <c r="Z80" s="9">
        <f>IF(AQ80="5",BJ80,0)</f>
        <v>0</v>
      </c>
      <c r="AB80" s="9">
        <f>IF(AQ80="1",BH80,0)</f>
        <v>0</v>
      </c>
      <c r="AC80" s="9">
        <f>IF(AQ80="1",BI80,0)</f>
        <v>0</v>
      </c>
      <c r="AD80" s="9">
        <f>IF(AQ80="7",BH80,0)</f>
        <v>0</v>
      </c>
      <c r="AE80" s="9">
        <f>IF(AQ80="7",BI80,0)</f>
        <v>0</v>
      </c>
      <c r="AF80" s="9">
        <f>IF(AQ80="2",BH80,0)</f>
        <v>0</v>
      </c>
      <c r="AG80" s="9">
        <f>IF(AQ80="2",BI80,0)</f>
        <v>0</v>
      </c>
      <c r="AH80" s="9">
        <f>IF(AQ80="0",BJ80,0)</f>
        <v>0</v>
      </c>
      <c r="AI80" s="40" t="s">
        <v>17</v>
      </c>
      <c r="AJ80" s="9">
        <f>IF(AN80=0,I80,0)</f>
        <v>0</v>
      </c>
      <c r="AK80" s="9">
        <f>IF(AN80=12,I80,0)</f>
        <v>0</v>
      </c>
      <c r="AL80" s="9">
        <f>IF(AN80=21,I80,0)</f>
        <v>0</v>
      </c>
      <c r="AN80" s="9">
        <v>21</v>
      </c>
      <c r="AO80" s="9">
        <f>H80*0.049612129</f>
        <v>0</v>
      </c>
      <c r="AP80" s="9">
        <f>H80*(1-0.049612129)</f>
        <v>0</v>
      </c>
      <c r="AQ80" s="8" t="s">
        <v>129</v>
      </c>
      <c r="AV80" s="9">
        <f>AW80+AX80</f>
        <v>0</v>
      </c>
      <c r="AW80" s="9">
        <f>G80*AO80</f>
        <v>0</v>
      </c>
      <c r="AX80" s="9">
        <f>G80*AP80</f>
        <v>0</v>
      </c>
      <c r="AY80" s="8" t="s">
        <v>241</v>
      </c>
      <c r="AZ80" s="8" t="s">
        <v>225</v>
      </c>
      <c r="BA80" s="40" t="s">
        <v>135</v>
      </c>
      <c r="BC80" s="9">
        <f>AW80+AX80</f>
        <v>0</v>
      </c>
      <c r="BD80" s="9">
        <f>H80/(100-BE80)*100</f>
        <v>0</v>
      </c>
      <c r="BE80" s="9">
        <v>0</v>
      </c>
      <c r="BF80" s="9">
        <f>80</f>
        <v>80</v>
      </c>
      <c r="BH80" s="9">
        <f>G80*AO80</f>
        <v>0</v>
      </c>
      <c r="BI80" s="9">
        <f>G80*AP80</f>
        <v>0</v>
      </c>
      <c r="BJ80" s="9">
        <f>G80*H80</f>
        <v>0</v>
      </c>
      <c r="BK80" s="9"/>
      <c r="BL80" s="9">
        <v>59</v>
      </c>
      <c r="BW80" s="9">
        <v>21</v>
      </c>
      <c r="BX80" s="62" t="s">
        <v>249</v>
      </c>
    </row>
    <row r="81" spans="1:76" x14ac:dyDescent="0.25">
      <c r="A81" s="60" t="s">
        <v>250</v>
      </c>
      <c r="B81" s="61" t="s">
        <v>17</v>
      </c>
      <c r="C81" s="61" t="s">
        <v>251</v>
      </c>
      <c r="D81" s="72" t="s">
        <v>252</v>
      </c>
      <c r="E81" s="68"/>
      <c r="F81" s="61" t="s">
        <v>161</v>
      </c>
      <c r="G81" s="9">
        <v>181.35599999999999</v>
      </c>
      <c r="H81" s="165">
        <v>0</v>
      </c>
      <c r="I81" s="9">
        <f>G81*H81</f>
        <v>0</v>
      </c>
      <c r="K81" s="46"/>
      <c r="Z81" s="9">
        <f>IF(AQ81="5",BJ81,0)</f>
        <v>0</v>
      </c>
      <c r="AB81" s="9">
        <f>IF(AQ81="1",BH81,0)</f>
        <v>0</v>
      </c>
      <c r="AC81" s="9">
        <f>IF(AQ81="1",BI81,0)</f>
        <v>0</v>
      </c>
      <c r="AD81" s="9">
        <f>IF(AQ81="7",BH81,0)</f>
        <v>0</v>
      </c>
      <c r="AE81" s="9">
        <f>IF(AQ81="7",BI81,0)</f>
        <v>0</v>
      </c>
      <c r="AF81" s="9">
        <f>IF(AQ81="2",BH81,0)</f>
        <v>0</v>
      </c>
      <c r="AG81" s="9">
        <f>IF(AQ81="2",BI81,0)</f>
        <v>0</v>
      </c>
      <c r="AH81" s="9">
        <f>IF(AQ81="0",BJ81,0)</f>
        <v>0</v>
      </c>
      <c r="AI81" s="40" t="s">
        <v>17</v>
      </c>
      <c r="AJ81" s="9">
        <f>IF(AN81=0,I81,0)</f>
        <v>0</v>
      </c>
      <c r="AK81" s="9">
        <f>IF(AN81=12,I81,0)</f>
        <v>0</v>
      </c>
      <c r="AL81" s="9">
        <f>IF(AN81=21,I81,0)</f>
        <v>0</v>
      </c>
      <c r="AN81" s="9">
        <v>21</v>
      </c>
      <c r="AO81" s="9">
        <f>H81*1</f>
        <v>0</v>
      </c>
      <c r="AP81" s="9">
        <f>H81*(1-1)</f>
        <v>0</v>
      </c>
      <c r="AQ81" s="8" t="s">
        <v>129</v>
      </c>
      <c r="AV81" s="9">
        <f>AW81+AX81</f>
        <v>0</v>
      </c>
      <c r="AW81" s="9">
        <f>G81*AO81</f>
        <v>0</v>
      </c>
      <c r="AX81" s="9">
        <f>G81*AP81</f>
        <v>0</v>
      </c>
      <c r="AY81" s="8" t="s">
        <v>241</v>
      </c>
      <c r="AZ81" s="8" t="s">
        <v>225</v>
      </c>
      <c r="BA81" s="40" t="s">
        <v>135</v>
      </c>
      <c r="BC81" s="9">
        <f>AW81+AX81</f>
        <v>0</v>
      </c>
      <c r="BD81" s="9">
        <f>H81/(100-BE81)*100</f>
        <v>0</v>
      </c>
      <c r="BE81" s="9">
        <v>0</v>
      </c>
      <c r="BF81" s="9">
        <f>81</f>
        <v>81</v>
      </c>
      <c r="BH81" s="9">
        <f>G81*AO81</f>
        <v>0</v>
      </c>
      <c r="BI81" s="9">
        <f>G81*AP81</f>
        <v>0</v>
      </c>
      <c r="BJ81" s="9">
        <f>G81*H81</f>
        <v>0</v>
      </c>
      <c r="BK81" s="9"/>
      <c r="BL81" s="9">
        <v>59</v>
      </c>
      <c r="BW81" s="9">
        <v>21</v>
      </c>
      <c r="BX81" s="62" t="s">
        <v>252</v>
      </c>
    </row>
    <row r="82" spans="1:76" x14ac:dyDescent="0.25">
      <c r="A82" s="52"/>
      <c r="D82" s="67" t="s">
        <v>253</v>
      </c>
      <c r="E82" s="67" t="s">
        <v>17</v>
      </c>
      <c r="G82" s="53">
        <v>190.74</v>
      </c>
      <c r="K82" s="46"/>
    </row>
    <row r="83" spans="1:76" x14ac:dyDescent="0.25">
      <c r="A83" s="52"/>
      <c r="D83" s="67" t="s">
        <v>254</v>
      </c>
      <c r="E83" s="67" t="s">
        <v>17</v>
      </c>
      <c r="G83" s="53">
        <v>0</v>
      </c>
      <c r="K83" s="46"/>
    </row>
    <row r="84" spans="1:76" x14ac:dyDescent="0.25">
      <c r="A84" s="52"/>
      <c r="D84" s="67" t="s">
        <v>255</v>
      </c>
      <c r="E84" s="67" t="s">
        <v>17</v>
      </c>
      <c r="G84" s="53">
        <v>-4.2430000000000003</v>
      </c>
      <c r="K84" s="46"/>
    </row>
    <row r="85" spans="1:76" x14ac:dyDescent="0.25">
      <c r="A85" s="52"/>
      <c r="D85" s="67" t="s">
        <v>256</v>
      </c>
      <c r="E85" s="67" t="s">
        <v>17</v>
      </c>
      <c r="G85" s="53">
        <v>-2.04</v>
      </c>
      <c r="K85" s="46"/>
    </row>
    <row r="86" spans="1:76" x14ac:dyDescent="0.25">
      <c r="A86" s="52"/>
      <c r="D86" s="67" t="s">
        <v>257</v>
      </c>
      <c r="E86" s="67" t="s">
        <v>17</v>
      </c>
      <c r="G86" s="53">
        <v>-3.101</v>
      </c>
      <c r="K86" s="46"/>
    </row>
    <row r="87" spans="1:76" x14ac:dyDescent="0.25">
      <c r="A87" s="60" t="s">
        <v>258</v>
      </c>
      <c r="B87" s="61" t="s">
        <v>17</v>
      </c>
      <c r="C87" s="61" t="s">
        <v>259</v>
      </c>
      <c r="D87" s="72" t="s">
        <v>260</v>
      </c>
      <c r="E87" s="68"/>
      <c r="F87" s="61" t="s">
        <v>161</v>
      </c>
      <c r="G87" s="9">
        <v>9.3840000000000003</v>
      </c>
      <c r="H87" s="165">
        <v>0</v>
      </c>
      <c r="I87" s="9">
        <f>G87*H87</f>
        <v>0</v>
      </c>
      <c r="K87" s="46"/>
      <c r="Z87" s="9">
        <f>IF(AQ87="5",BJ87,0)</f>
        <v>0</v>
      </c>
      <c r="AB87" s="9">
        <f>IF(AQ87="1",BH87,0)</f>
        <v>0</v>
      </c>
      <c r="AC87" s="9">
        <f>IF(AQ87="1",BI87,0)</f>
        <v>0</v>
      </c>
      <c r="AD87" s="9">
        <f>IF(AQ87="7",BH87,0)</f>
        <v>0</v>
      </c>
      <c r="AE87" s="9">
        <f>IF(AQ87="7",BI87,0)</f>
        <v>0</v>
      </c>
      <c r="AF87" s="9">
        <f>IF(AQ87="2",BH87,0)</f>
        <v>0</v>
      </c>
      <c r="AG87" s="9">
        <f>IF(AQ87="2",BI87,0)</f>
        <v>0</v>
      </c>
      <c r="AH87" s="9">
        <f>IF(AQ87="0",BJ87,0)</f>
        <v>0</v>
      </c>
      <c r="AI87" s="40" t="s">
        <v>17</v>
      </c>
      <c r="AJ87" s="9">
        <f>IF(AN87=0,I87,0)</f>
        <v>0</v>
      </c>
      <c r="AK87" s="9">
        <f>IF(AN87=12,I87,0)</f>
        <v>0</v>
      </c>
      <c r="AL87" s="9">
        <f>IF(AN87=21,I87,0)</f>
        <v>0</v>
      </c>
      <c r="AN87" s="9">
        <v>21</v>
      </c>
      <c r="AO87" s="9">
        <f>H87*1</f>
        <v>0</v>
      </c>
      <c r="AP87" s="9">
        <f>H87*(1-1)</f>
        <v>0</v>
      </c>
      <c r="AQ87" s="8" t="s">
        <v>129</v>
      </c>
      <c r="AV87" s="9">
        <f>AW87+AX87</f>
        <v>0</v>
      </c>
      <c r="AW87" s="9">
        <f>G87*AO87</f>
        <v>0</v>
      </c>
      <c r="AX87" s="9">
        <f>G87*AP87</f>
        <v>0</v>
      </c>
      <c r="AY87" s="8" t="s">
        <v>241</v>
      </c>
      <c r="AZ87" s="8" t="s">
        <v>225</v>
      </c>
      <c r="BA87" s="40" t="s">
        <v>135</v>
      </c>
      <c r="BC87" s="9">
        <f>AW87+AX87</f>
        <v>0</v>
      </c>
      <c r="BD87" s="9">
        <f>H87/(100-BE87)*100</f>
        <v>0</v>
      </c>
      <c r="BE87" s="9">
        <v>0</v>
      </c>
      <c r="BF87" s="9">
        <f>87</f>
        <v>87</v>
      </c>
      <c r="BH87" s="9">
        <f>G87*AO87</f>
        <v>0</v>
      </c>
      <c r="BI87" s="9">
        <f>G87*AP87</f>
        <v>0</v>
      </c>
      <c r="BJ87" s="9">
        <f>G87*H87</f>
        <v>0</v>
      </c>
      <c r="BK87" s="9"/>
      <c r="BL87" s="9">
        <v>59</v>
      </c>
      <c r="BW87" s="9">
        <v>21</v>
      </c>
      <c r="BX87" s="62" t="s">
        <v>260</v>
      </c>
    </row>
    <row r="88" spans="1:76" x14ac:dyDescent="0.25">
      <c r="A88" s="52"/>
      <c r="D88" s="67" t="s">
        <v>261</v>
      </c>
      <c r="E88" s="67" t="s">
        <v>17</v>
      </c>
      <c r="G88" s="53">
        <v>4.2430000000000003</v>
      </c>
      <c r="K88" s="46"/>
    </row>
    <row r="89" spans="1:76" x14ac:dyDescent="0.25">
      <c r="A89" s="52"/>
      <c r="D89" s="67" t="s">
        <v>262</v>
      </c>
      <c r="E89" s="67" t="s">
        <v>17</v>
      </c>
      <c r="G89" s="53">
        <v>2.04</v>
      </c>
      <c r="K89" s="46"/>
    </row>
    <row r="90" spans="1:76" x14ac:dyDescent="0.25">
      <c r="A90" s="52"/>
      <c r="D90" s="67" t="s">
        <v>263</v>
      </c>
      <c r="E90" s="67" t="s">
        <v>17</v>
      </c>
      <c r="G90" s="53">
        <v>3.101</v>
      </c>
      <c r="K90" s="46"/>
    </row>
    <row r="91" spans="1:76" ht="51" x14ac:dyDescent="0.25">
      <c r="A91" s="52"/>
      <c r="C91" s="54" t="s">
        <v>181</v>
      </c>
      <c r="D91" s="147" t="s">
        <v>264</v>
      </c>
      <c r="E91" s="148"/>
      <c r="F91" s="148"/>
      <c r="G91" s="148"/>
      <c r="H91" s="148"/>
      <c r="I91" s="148"/>
      <c r="J91" s="148"/>
      <c r="K91" s="149"/>
      <c r="BX91" s="66" t="s">
        <v>264</v>
      </c>
    </row>
    <row r="92" spans="1:76" x14ac:dyDescent="0.25">
      <c r="A92" s="50" t="s">
        <v>17</v>
      </c>
      <c r="B92" s="65" t="s">
        <v>17</v>
      </c>
      <c r="C92" s="65" t="s">
        <v>37</v>
      </c>
      <c r="D92" s="145" t="s">
        <v>38</v>
      </c>
      <c r="E92" s="146"/>
      <c r="F92" s="51" t="s">
        <v>3</v>
      </c>
      <c r="G92" s="51" t="s">
        <v>3</v>
      </c>
      <c r="H92" s="51" t="s">
        <v>3</v>
      </c>
      <c r="I92" s="33">
        <f>SUM(I93:I97)</f>
        <v>0</v>
      </c>
      <c r="K92" s="46"/>
      <c r="AI92" s="40" t="s">
        <v>17</v>
      </c>
      <c r="AS92" s="33">
        <f>SUM(AJ93:AJ97)</f>
        <v>0</v>
      </c>
      <c r="AT92" s="33">
        <f>SUM(AK93:AK97)</f>
        <v>0</v>
      </c>
      <c r="AU92" s="33">
        <f>SUM(AL93:AL97)</f>
        <v>0</v>
      </c>
    </row>
    <row r="93" spans="1:76" x14ac:dyDescent="0.25">
      <c r="A93" s="60" t="s">
        <v>265</v>
      </c>
      <c r="B93" s="61" t="s">
        <v>17</v>
      </c>
      <c r="C93" s="61" t="s">
        <v>266</v>
      </c>
      <c r="D93" s="72" t="s">
        <v>267</v>
      </c>
      <c r="E93" s="68"/>
      <c r="F93" s="61" t="s">
        <v>155</v>
      </c>
      <c r="G93" s="9">
        <v>130</v>
      </c>
      <c r="H93" s="165">
        <v>0</v>
      </c>
      <c r="I93" s="9">
        <f>G93*H93</f>
        <v>0</v>
      </c>
      <c r="K93" s="46"/>
      <c r="Z93" s="9">
        <f>IF(AQ93="5",BJ93,0)</f>
        <v>0</v>
      </c>
      <c r="AB93" s="9">
        <f>IF(AQ93="1",BH93,0)</f>
        <v>0</v>
      </c>
      <c r="AC93" s="9">
        <f>IF(AQ93="1",BI93,0)</f>
        <v>0</v>
      </c>
      <c r="AD93" s="9">
        <f>IF(AQ93="7",BH93,0)</f>
        <v>0</v>
      </c>
      <c r="AE93" s="9">
        <f>IF(AQ93="7",BI93,0)</f>
        <v>0</v>
      </c>
      <c r="AF93" s="9">
        <f>IF(AQ93="2",BH93,0)</f>
        <v>0</v>
      </c>
      <c r="AG93" s="9">
        <f>IF(AQ93="2",BI93,0)</f>
        <v>0</v>
      </c>
      <c r="AH93" s="9">
        <f>IF(AQ93="0",BJ93,0)</f>
        <v>0</v>
      </c>
      <c r="AI93" s="40" t="s">
        <v>17</v>
      </c>
      <c r="AJ93" s="9">
        <f>IF(AN93=0,I93,0)</f>
        <v>0</v>
      </c>
      <c r="AK93" s="9">
        <f>IF(AN93=12,I93,0)</f>
        <v>0</v>
      </c>
      <c r="AL93" s="9">
        <f>IF(AN93=21,I93,0)</f>
        <v>0</v>
      </c>
      <c r="AN93" s="9">
        <v>21</v>
      </c>
      <c r="AO93" s="9">
        <f>H93*0.700018182</f>
        <v>0</v>
      </c>
      <c r="AP93" s="9">
        <f>H93*(1-0.700018182)</f>
        <v>0</v>
      </c>
      <c r="AQ93" s="8" t="s">
        <v>129</v>
      </c>
      <c r="AV93" s="9">
        <f>AW93+AX93</f>
        <v>0</v>
      </c>
      <c r="AW93" s="9">
        <f>G93*AO93</f>
        <v>0</v>
      </c>
      <c r="AX93" s="9">
        <f>G93*AP93</f>
        <v>0</v>
      </c>
      <c r="AY93" s="8" t="s">
        <v>268</v>
      </c>
      <c r="AZ93" s="8" t="s">
        <v>269</v>
      </c>
      <c r="BA93" s="40" t="s">
        <v>135</v>
      </c>
      <c r="BC93" s="9">
        <f>AW93+AX93</f>
        <v>0</v>
      </c>
      <c r="BD93" s="9">
        <f>H93/(100-BE93)*100</f>
        <v>0</v>
      </c>
      <c r="BE93" s="9">
        <v>0</v>
      </c>
      <c r="BF93" s="9">
        <f>93</f>
        <v>93</v>
      </c>
      <c r="BH93" s="9">
        <f>G93*AO93</f>
        <v>0</v>
      </c>
      <c r="BI93" s="9">
        <f>G93*AP93</f>
        <v>0</v>
      </c>
      <c r="BJ93" s="9">
        <f>G93*H93</f>
        <v>0</v>
      </c>
      <c r="BK93" s="9"/>
      <c r="BL93" s="9">
        <v>91</v>
      </c>
      <c r="BW93" s="9">
        <v>21</v>
      </c>
      <c r="BX93" s="62" t="s">
        <v>267</v>
      </c>
    </row>
    <row r="94" spans="1:76" x14ac:dyDescent="0.25">
      <c r="A94" s="60" t="s">
        <v>270</v>
      </c>
      <c r="B94" s="61" t="s">
        <v>17</v>
      </c>
      <c r="C94" s="61" t="s">
        <v>271</v>
      </c>
      <c r="D94" s="72" t="s">
        <v>272</v>
      </c>
      <c r="E94" s="68"/>
      <c r="F94" s="61" t="s">
        <v>155</v>
      </c>
      <c r="G94" s="9">
        <v>8</v>
      </c>
      <c r="H94" s="165">
        <v>0</v>
      </c>
      <c r="I94" s="9">
        <f>G94*H94</f>
        <v>0</v>
      </c>
      <c r="K94" s="46"/>
      <c r="Z94" s="9">
        <f>IF(AQ94="5",BJ94,0)</f>
        <v>0</v>
      </c>
      <c r="AB94" s="9">
        <f>IF(AQ94="1",BH94,0)</f>
        <v>0</v>
      </c>
      <c r="AC94" s="9">
        <f>IF(AQ94="1",BI94,0)</f>
        <v>0</v>
      </c>
      <c r="AD94" s="9">
        <f>IF(AQ94="7",BH94,0)</f>
        <v>0</v>
      </c>
      <c r="AE94" s="9">
        <f>IF(AQ94="7",BI94,0)</f>
        <v>0</v>
      </c>
      <c r="AF94" s="9">
        <f>IF(AQ94="2",BH94,0)</f>
        <v>0</v>
      </c>
      <c r="AG94" s="9">
        <f>IF(AQ94="2",BI94,0)</f>
        <v>0</v>
      </c>
      <c r="AH94" s="9">
        <f>IF(AQ94="0",BJ94,0)</f>
        <v>0</v>
      </c>
      <c r="AI94" s="40" t="s">
        <v>17</v>
      </c>
      <c r="AJ94" s="9">
        <f>IF(AN94=0,I94,0)</f>
        <v>0</v>
      </c>
      <c r="AK94" s="9">
        <f>IF(AN94=12,I94,0)</f>
        <v>0</v>
      </c>
      <c r="AL94" s="9">
        <f>IF(AN94=21,I94,0)</f>
        <v>0</v>
      </c>
      <c r="AN94" s="9">
        <v>21</v>
      </c>
      <c r="AO94" s="9">
        <f>H94*0.485714286</f>
        <v>0</v>
      </c>
      <c r="AP94" s="9">
        <f>H94*(1-0.485714286)</f>
        <v>0</v>
      </c>
      <c r="AQ94" s="8" t="s">
        <v>129</v>
      </c>
      <c r="AV94" s="9">
        <f>AW94+AX94</f>
        <v>0</v>
      </c>
      <c r="AW94" s="9">
        <f>G94*AO94</f>
        <v>0</v>
      </c>
      <c r="AX94" s="9">
        <f>G94*AP94</f>
        <v>0</v>
      </c>
      <c r="AY94" s="8" t="s">
        <v>268</v>
      </c>
      <c r="AZ94" s="8" t="s">
        <v>269</v>
      </c>
      <c r="BA94" s="40" t="s">
        <v>135</v>
      </c>
      <c r="BC94" s="9">
        <f>AW94+AX94</f>
        <v>0</v>
      </c>
      <c r="BD94" s="9">
        <f>H94/(100-BE94)*100</f>
        <v>0</v>
      </c>
      <c r="BE94" s="9">
        <v>0</v>
      </c>
      <c r="BF94" s="9">
        <f>94</f>
        <v>94</v>
      </c>
      <c r="BH94" s="9">
        <f>G94*AO94</f>
        <v>0</v>
      </c>
      <c r="BI94" s="9">
        <f>G94*AP94</f>
        <v>0</v>
      </c>
      <c r="BJ94" s="9">
        <f>G94*H94</f>
        <v>0</v>
      </c>
      <c r="BK94" s="9"/>
      <c r="BL94" s="9">
        <v>91</v>
      </c>
      <c r="BW94" s="9">
        <v>21</v>
      </c>
      <c r="BX94" s="62" t="s">
        <v>272</v>
      </c>
    </row>
    <row r="95" spans="1:76" x14ac:dyDescent="0.25">
      <c r="A95" s="52"/>
      <c r="C95" s="54" t="s">
        <v>181</v>
      </c>
      <c r="D95" s="147" t="s">
        <v>273</v>
      </c>
      <c r="E95" s="148"/>
      <c r="F95" s="148"/>
      <c r="G95" s="148"/>
      <c r="H95" s="148"/>
      <c r="I95" s="148"/>
      <c r="J95" s="148"/>
      <c r="K95" s="149"/>
      <c r="BX95" s="66" t="s">
        <v>273</v>
      </c>
    </row>
    <row r="96" spans="1:76" x14ac:dyDescent="0.25">
      <c r="A96" s="60" t="s">
        <v>274</v>
      </c>
      <c r="B96" s="61" t="s">
        <v>17</v>
      </c>
      <c r="C96" s="61" t="s">
        <v>275</v>
      </c>
      <c r="D96" s="72" t="s">
        <v>276</v>
      </c>
      <c r="E96" s="68"/>
      <c r="F96" s="61" t="s">
        <v>155</v>
      </c>
      <c r="G96" s="9">
        <v>8</v>
      </c>
      <c r="H96" s="165">
        <v>0</v>
      </c>
      <c r="I96" s="9">
        <f>G96*H96</f>
        <v>0</v>
      </c>
      <c r="K96" s="46"/>
      <c r="Z96" s="9">
        <f>IF(AQ96="5",BJ96,0)</f>
        <v>0</v>
      </c>
      <c r="AB96" s="9">
        <f>IF(AQ96="1",BH96,0)</f>
        <v>0</v>
      </c>
      <c r="AC96" s="9">
        <f>IF(AQ96="1",BI96,0)</f>
        <v>0</v>
      </c>
      <c r="AD96" s="9">
        <f>IF(AQ96="7",BH96,0)</f>
        <v>0</v>
      </c>
      <c r="AE96" s="9">
        <f>IF(AQ96="7",BI96,0)</f>
        <v>0</v>
      </c>
      <c r="AF96" s="9">
        <f>IF(AQ96="2",BH96,0)</f>
        <v>0</v>
      </c>
      <c r="AG96" s="9">
        <f>IF(AQ96="2",BI96,0)</f>
        <v>0</v>
      </c>
      <c r="AH96" s="9">
        <f>IF(AQ96="0",BJ96,0)</f>
        <v>0</v>
      </c>
      <c r="AI96" s="40" t="s">
        <v>17</v>
      </c>
      <c r="AJ96" s="9">
        <f>IF(AN96=0,I96,0)</f>
        <v>0</v>
      </c>
      <c r="AK96" s="9">
        <f>IF(AN96=12,I96,0)</f>
        <v>0</v>
      </c>
      <c r="AL96" s="9">
        <f>IF(AN96=21,I96,0)</f>
        <v>0</v>
      </c>
      <c r="AN96" s="9">
        <v>21</v>
      </c>
      <c r="AO96" s="9">
        <f>H96*0.620878499</f>
        <v>0</v>
      </c>
      <c r="AP96" s="9">
        <f>H96*(1-0.620878499)</f>
        <v>0</v>
      </c>
      <c r="AQ96" s="8" t="s">
        <v>129</v>
      </c>
      <c r="AV96" s="9">
        <f>AW96+AX96</f>
        <v>0</v>
      </c>
      <c r="AW96" s="9">
        <f>G96*AO96</f>
        <v>0</v>
      </c>
      <c r="AX96" s="9">
        <f>G96*AP96</f>
        <v>0</v>
      </c>
      <c r="AY96" s="8" t="s">
        <v>268</v>
      </c>
      <c r="AZ96" s="8" t="s">
        <v>269</v>
      </c>
      <c r="BA96" s="40" t="s">
        <v>135</v>
      </c>
      <c r="BC96" s="9">
        <f>AW96+AX96</f>
        <v>0</v>
      </c>
      <c r="BD96" s="9">
        <f>H96/(100-BE96)*100</f>
        <v>0</v>
      </c>
      <c r="BE96" s="9">
        <v>0</v>
      </c>
      <c r="BF96" s="9">
        <f>96</f>
        <v>96</v>
      </c>
      <c r="BH96" s="9">
        <f>G96*AO96</f>
        <v>0</v>
      </c>
      <c r="BI96" s="9">
        <f>G96*AP96</f>
        <v>0</v>
      </c>
      <c r="BJ96" s="9">
        <f>G96*H96</f>
        <v>0</v>
      </c>
      <c r="BK96" s="9"/>
      <c r="BL96" s="9">
        <v>91</v>
      </c>
      <c r="BW96" s="9">
        <v>21</v>
      </c>
      <c r="BX96" s="62" t="s">
        <v>276</v>
      </c>
    </row>
    <row r="97" spans="1:76" x14ac:dyDescent="0.25">
      <c r="A97" s="60" t="s">
        <v>277</v>
      </c>
      <c r="B97" s="61" t="s">
        <v>17</v>
      </c>
      <c r="C97" s="61" t="s">
        <v>278</v>
      </c>
      <c r="D97" s="72" t="s">
        <v>279</v>
      </c>
      <c r="E97" s="68"/>
      <c r="F97" s="61" t="s">
        <v>280</v>
      </c>
      <c r="G97" s="9">
        <v>204.28</v>
      </c>
      <c r="H97" s="165">
        <v>0</v>
      </c>
      <c r="I97" s="9">
        <f>G97*H97</f>
        <v>0</v>
      </c>
      <c r="K97" s="46"/>
      <c r="Z97" s="9">
        <f>IF(AQ97="5",BJ97,0)</f>
        <v>0</v>
      </c>
      <c r="AB97" s="9">
        <f>IF(AQ97="1",BH97,0)</f>
        <v>0</v>
      </c>
      <c r="AC97" s="9">
        <f>IF(AQ97="1",BI97,0)</f>
        <v>0</v>
      </c>
      <c r="AD97" s="9">
        <f>IF(AQ97="7",BH97,0)</f>
        <v>0</v>
      </c>
      <c r="AE97" s="9">
        <f>IF(AQ97="7",BI97,0)</f>
        <v>0</v>
      </c>
      <c r="AF97" s="9">
        <f>IF(AQ97="2",BH97,0)</f>
        <v>0</v>
      </c>
      <c r="AG97" s="9">
        <f>IF(AQ97="2",BI97,0)</f>
        <v>0</v>
      </c>
      <c r="AH97" s="9">
        <f>IF(AQ97="0",BJ97,0)</f>
        <v>0</v>
      </c>
      <c r="AI97" s="40" t="s">
        <v>17</v>
      </c>
      <c r="AJ97" s="9">
        <f>IF(AN97=0,I97,0)</f>
        <v>0</v>
      </c>
      <c r="AK97" s="9">
        <f>IF(AN97=12,I97,0)</f>
        <v>0</v>
      </c>
      <c r="AL97" s="9">
        <f>IF(AN97=21,I97,0)</f>
        <v>0</v>
      </c>
      <c r="AN97" s="9">
        <v>21</v>
      </c>
      <c r="AO97" s="9">
        <f>H97*0</f>
        <v>0</v>
      </c>
      <c r="AP97" s="9">
        <f>H97*(1-0)</f>
        <v>0</v>
      </c>
      <c r="AQ97" s="8" t="s">
        <v>146</v>
      </c>
      <c r="AV97" s="9">
        <f>AW97+AX97</f>
        <v>0</v>
      </c>
      <c r="AW97" s="9">
        <f>G97*AO97</f>
        <v>0</v>
      </c>
      <c r="AX97" s="9">
        <f>G97*AP97</f>
        <v>0</v>
      </c>
      <c r="AY97" s="8" t="s">
        <v>268</v>
      </c>
      <c r="AZ97" s="8" t="s">
        <v>269</v>
      </c>
      <c r="BA97" s="40" t="s">
        <v>135</v>
      </c>
      <c r="BC97" s="9">
        <f>AW97+AX97</f>
        <v>0</v>
      </c>
      <c r="BD97" s="9">
        <f>H97/(100-BE97)*100</f>
        <v>0</v>
      </c>
      <c r="BE97" s="9">
        <v>0</v>
      </c>
      <c r="BF97" s="9">
        <f>97</f>
        <v>97</v>
      </c>
      <c r="BH97" s="9">
        <f>G97*AO97</f>
        <v>0</v>
      </c>
      <c r="BI97" s="9">
        <f>G97*AP97</f>
        <v>0</v>
      </c>
      <c r="BJ97" s="9">
        <f>G97*H97</f>
        <v>0</v>
      </c>
      <c r="BK97" s="9"/>
      <c r="BL97" s="9">
        <v>91</v>
      </c>
      <c r="BW97" s="9">
        <v>21</v>
      </c>
      <c r="BX97" s="62" t="s">
        <v>279</v>
      </c>
    </row>
    <row r="98" spans="1:76" x14ac:dyDescent="0.25">
      <c r="A98" s="50" t="s">
        <v>17</v>
      </c>
      <c r="B98" s="65" t="s">
        <v>17</v>
      </c>
      <c r="C98" s="65" t="s">
        <v>39</v>
      </c>
      <c r="D98" s="145" t="s">
        <v>40</v>
      </c>
      <c r="E98" s="146"/>
      <c r="F98" s="51" t="s">
        <v>3</v>
      </c>
      <c r="G98" s="51" t="s">
        <v>3</v>
      </c>
      <c r="H98" s="51" t="s">
        <v>3</v>
      </c>
      <c r="I98" s="33">
        <f>SUM(I99:I104)</f>
        <v>0</v>
      </c>
      <c r="K98" s="46"/>
      <c r="AI98" s="40" t="s">
        <v>17</v>
      </c>
      <c r="AS98" s="33">
        <f>SUM(AJ99:AJ104)</f>
        <v>0</v>
      </c>
      <c r="AT98" s="33">
        <f>SUM(AK99:AK104)</f>
        <v>0</v>
      </c>
      <c r="AU98" s="33">
        <f>SUM(AL99:AL104)</f>
        <v>0</v>
      </c>
    </row>
    <row r="99" spans="1:76" x14ac:dyDescent="0.25">
      <c r="A99" s="60" t="s">
        <v>281</v>
      </c>
      <c r="B99" s="61" t="s">
        <v>17</v>
      </c>
      <c r="C99" s="61" t="s">
        <v>282</v>
      </c>
      <c r="D99" s="72" t="s">
        <v>283</v>
      </c>
      <c r="E99" s="68"/>
      <c r="F99" s="61" t="s">
        <v>161</v>
      </c>
      <c r="G99" s="9">
        <v>8.1449999999999996</v>
      </c>
      <c r="H99" s="165">
        <v>0</v>
      </c>
      <c r="I99" s="9">
        <f>G99*H99</f>
        <v>0</v>
      </c>
      <c r="K99" s="46"/>
      <c r="Z99" s="9">
        <f>IF(AQ99="5",BJ99,0)</f>
        <v>0</v>
      </c>
      <c r="AB99" s="9">
        <f>IF(AQ99="1",BH99,0)</f>
        <v>0</v>
      </c>
      <c r="AC99" s="9">
        <f>IF(AQ99="1",BI99,0)</f>
        <v>0</v>
      </c>
      <c r="AD99" s="9">
        <f>IF(AQ99="7",BH99,0)</f>
        <v>0</v>
      </c>
      <c r="AE99" s="9">
        <f>IF(AQ99="7",BI99,0)</f>
        <v>0</v>
      </c>
      <c r="AF99" s="9">
        <f>IF(AQ99="2",BH99,0)</f>
        <v>0</v>
      </c>
      <c r="AG99" s="9">
        <f>IF(AQ99="2",BI99,0)</f>
        <v>0</v>
      </c>
      <c r="AH99" s="9">
        <f>IF(AQ99="0",BJ99,0)</f>
        <v>0</v>
      </c>
      <c r="AI99" s="40" t="s">
        <v>17</v>
      </c>
      <c r="AJ99" s="9">
        <f>IF(AN99=0,I99,0)</f>
        <v>0</v>
      </c>
      <c r="AK99" s="9">
        <f>IF(AN99=12,I99,0)</f>
        <v>0</v>
      </c>
      <c r="AL99" s="9">
        <f>IF(AN99=21,I99,0)</f>
        <v>0</v>
      </c>
      <c r="AN99" s="9">
        <v>21</v>
      </c>
      <c r="AO99" s="9">
        <f>H99*0</f>
        <v>0</v>
      </c>
      <c r="AP99" s="9">
        <f>H99*(1-0)</f>
        <v>0</v>
      </c>
      <c r="AQ99" s="8" t="s">
        <v>129</v>
      </c>
      <c r="AV99" s="9">
        <f>AW99+AX99</f>
        <v>0</v>
      </c>
      <c r="AW99" s="9">
        <f>G99*AO99</f>
        <v>0</v>
      </c>
      <c r="AX99" s="9">
        <f>G99*AP99</f>
        <v>0</v>
      </c>
      <c r="AY99" s="8" t="s">
        <v>284</v>
      </c>
      <c r="AZ99" s="8" t="s">
        <v>269</v>
      </c>
      <c r="BA99" s="40" t="s">
        <v>135</v>
      </c>
      <c r="BC99" s="9">
        <f>AW99+AX99</f>
        <v>0</v>
      </c>
      <c r="BD99" s="9">
        <f>H99/(100-BE99)*100</f>
        <v>0</v>
      </c>
      <c r="BE99" s="9">
        <v>0</v>
      </c>
      <c r="BF99" s="9">
        <f>99</f>
        <v>99</v>
      </c>
      <c r="BH99" s="9">
        <f>G99*AO99</f>
        <v>0</v>
      </c>
      <c r="BI99" s="9">
        <f>G99*AP99</f>
        <v>0</v>
      </c>
      <c r="BJ99" s="9">
        <f>G99*H99</f>
        <v>0</v>
      </c>
      <c r="BK99" s="9"/>
      <c r="BL99" s="9">
        <v>97</v>
      </c>
      <c r="BW99" s="9">
        <v>21</v>
      </c>
      <c r="BX99" s="62" t="s">
        <v>283</v>
      </c>
    </row>
    <row r="100" spans="1:76" x14ac:dyDescent="0.25">
      <c r="A100" s="52"/>
      <c r="D100" s="67" t="s">
        <v>245</v>
      </c>
      <c r="E100" s="67" t="s">
        <v>17</v>
      </c>
      <c r="G100" s="53">
        <v>0</v>
      </c>
      <c r="K100" s="46"/>
    </row>
    <row r="101" spans="1:76" x14ac:dyDescent="0.25">
      <c r="A101" s="52"/>
      <c r="D101" s="67" t="s">
        <v>246</v>
      </c>
      <c r="E101" s="67" t="s">
        <v>17</v>
      </c>
      <c r="G101" s="53">
        <v>8.1449999999999996</v>
      </c>
      <c r="K101" s="46"/>
    </row>
    <row r="102" spans="1:76" x14ac:dyDescent="0.25">
      <c r="A102" s="60" t="s">
        <v>285</v>
      </c>
      <c r="B102" s="61" t="s">
        <v>17</v>
      </c>
      <c r="C102" s="61" t="s">
        <v>286</v>
      </c>
      <c r="D102" s="72" t="s">
        <v>287</v>
      </c>
      <c r="E102" s="68"/>
      <c r="F102" s="61" t="s">
        <v>161</v>
      </c>
      <c r="G102" s="9">
        <v>0.8</v>
      </c>
      <c r="H102" s="165">
        <v>0</v>
      </c>
      <c r="I102" s="9">
        <f>G102*H102</f>
        <v>0</v>
      </c>
      <c r="K102" s="46"/>
      <c r="Z102" s="9">
        <f>IF(AQ102="5",BJ102,0)</f>
        <v>0</v>
      </c>
      <c r="AB102" s="9">
        <f>IF(AQ102="1",BH102,0)</f>
        <v>0</v>
      </c>
      <c r="AC102" s="9">
        <f>IF(AQ102="1",BI102,0)</f>
        <v>0</v>
      </c>
      <c r="AD102" s="9">
        <f>IF(AQ102="7",BH102,0)</f>
        <v>0</v>
      </c>
      <c r="AE102" s="9">
        <f>IF(AQ102="7",BI102,0)</f>
        <v>0</v>
      </c>
      <c r="AF102" s="9">
        <f>IF(AQ102="2",BH102,0)</f>
        <v>0</v>
      </c>
      <c r="AG102" s="9">
        <f>IF(AQ102="2",BI102,0)</f>
        <v>0</v>
      </c>
      <c r="AH102" s="9">
        <f>IF(AQ102="0",BJ102,0)</f>
        <v>0</v>
      </c>
      <c r="AI102" s="40" t="s">
        <v>17</v>
      </c>
      <c r="AJ102" s="9">
        <f>IF(AN102=0,I102,0)</f>
        <v>0</v>
      </c>
      <c r="AK102" s="9">
        <f>IF(AN102=12,I102,0)</f>
        <v>0</v>
      </c>
      <c r="AL102" s="9">
        <f>IF(AN102=21,I102,0)</f>
        <v>0</v>
      </c>
      <c r="AN102" s="9">
        <v>21</v>
      </c>
      <c r="AO102" s="9">
        <f>H102*0</f>
        <v>0</v>
      </c>
      <c r="AP102" s="9">
        <f>H102*(1-0)</f>
        <v>0</v>
      </c>
      <c r="AQ102" s="8" t="s">
        <v>129</v>
      </c>
      <c r="AV102" s="9">
        <f>AW102+AX102</f>
        <v>0</v>
      </c>
      <c r="AW102" s="9">
        <f>G102*AO102</f>
        <v>0</v>
      </c>
      <c r="AX102" s="9">
        <f>G102*AP102</f>
        <v>0</v>
      </c>
      <c r="AY102" s="8" t="s">
        <v>284</v>
      </c>
      <c r="AZ102" s="8" t="s">
        <v>269</v>
      </c>
      <c r="BA102" s="40" t="s">
        <v>135</v>
      </c>
      <c r="BC102" s="9">
        <f>AW102+AX102</f>
        <v>0</v>
      </c>
      <c r="BD102" s="9">
        <f>H102/(100-BE102)*100</f>
        <v>0</v>
      </c>
      <c r="BE102" s="9">
        <v>0</v>
      </c>
      <c r="BF102" s="9">
        <f>102</f>
        <v>102</v>
      </c>
      <c r="BH102" s="9">
        <f>G102*AO102</f>
        <v>0</v>
      </c>
      <c r="BI102" s="9">
        <f>G102*AP102</f>
        <v>0</v>
      </c>
      <c r="BJ102" s="9">
        <f>G102*H102</f>
        <v>0</v>
      </c>
      <c r="BK102" s="9"/>
      <c r="BL102" s="9">
        <v>97</v>
      </c>
      <c r="BW102" s="9">
        <v>21</v>
      </c>
      <c r="BX102" s="62" t="s">
        <v>287</v>
      </c>
    </row>
    <row r="103" spans="1:76" x14ac:dyDescent="0.25">
      <c r="A103" s="52"/>
      <c r="D103" s="67" t="s">
        <v>288</v>
      </c>
      <c r="E103" s="67" t="s">
        <v>17</v>
      </c>
      <c r="G103" s="53">
        <v>0.8</v>
      </c>
      <c r="K103" s="46"/>
    </row>
    <row r="104" spans="1:76" x14ac:dyDescent="0.25">
      <c r="A104" s="60" t="s">
        <v>289</v>
      </c>
      <c r="B104" s="61" t="s">
        <v>17</v>
      </c>
      <c r="C104" s="61" t="s">
        <v>290</v>
      </c>
      <c r="D104" s="72" t="s">
        <v>291</v>
      </c>
      <c r="E104" s="68"/>
      <c r="F104" s="61" t="s">
        <v>155</v>
      </c>
      <c r="G104" s="9">
        <v>8</v>
      </c>
      <c r="H104" s="165">
        <v>0</v>
      </c>
      <c r="I104" s="9">
        <f>G104*H104</f>
        <v>0</v>
      </c>
      <c r="K104" s="46"/>
      <c r="Z104" s="9">
        <f>IF(AQ104="5",BJ104,0)</f>
        <v>0</v>
      </c>
      <c r="AB104" s="9">
        <f>IF(AQ104="1",BH104,0)</f>
        <v>0</v>
      </c>
      <c r="AC104" s="9">
        <f>IF(AQ104="1",BI104,0)</f>
        <v>0</v>
      </c>
      <c r="AD104" s="9">
        <f>IF(AQ104="7",BH104,0)</f>
        <v>0</v>
      </c>
      <c r="AE104" s="9">
        <f>IF(AQ104="7",BI104,0)</f>
        <v>0</v>
      </c>
      <c r="AF104" s="9">
        <f>IF(AQ104="2",BH104,0)</f>
        <v>0</v>
      </c>
      <c r="AG104" s="9">
        <f>IF(AQ104="2",BI104,0)</f>
        <v>0</v>
      </c>
      <c r="AH104" s="9">
        <f>IF(AQ104="0",BJ104,0)</f>
        <v>0</v>
      </c>
      <c r="AI104" s="40" t="s">
        <v>17</v>
      </c>
      <c r="AJ104" s="9">
        <f>IF(AN104=0,I104,0)</f>
        <v>0</v>
      </c>
      <c r="AK104" s="9">
        <f>IF(AN104=12,I104,0)</f>
        <v>0</v>
      </c>
      <c r="AL104" s="9">
        <f>IF(AN104=21,I104,0)</f>
        <v>0</v>
      </c>
      <c r="AN104" s="9">
        <v>21</v>
      </c>
      <c r="AO104" s="9">
        <f>H104*0</f>
        <v>0</v>
      </c>
      <c r="AP104" s="9">
        <f>H104*(1-0)</f>
        <v>0</v>
      </c>
      <c r="AQ104" s="8" t="s">
        <v>129</v>
      </c>
      <c r="AV104" s="9">
        <f>AW104+AX104</f>
        <v>0</v>
      </c>
      <c r="AW104" s="9">
        <f>G104*AO104</f>
        <v>0</v>
      </c>
      <c r="AX104" s="9">
        <f>G104*AP104</f>
        <v>0</v>
      </c>
      <c r="AY104" s="8" t="s">
        <v>284</v>
      </c>
      <c r="AZ104" s="8" t="s">
        <v>269</v>
      </c>
      <c r="BA104" s="40" t="s">
        <v>135</v>
      </c>
      <c r="BC104" s="9">
        <f>AW104+AX104</f>
        <v>0</v>
      </c>
      <c r="BD104" s="9">
        <f>H104/(100-BE104)*100</f>
        <v>0</v>
      </c>
      <c r="BE104" s="9">
        <v>0</v>
      </c>
      <c r="BF104" s="9">
        <f>104</f>
        <v>104</v>
      </c>
      <c r="BH104" s="9">
        <f>G104*AO104</f>
        <v>0</v>
      </c>
      <c r="BI104" s="9">
        <f>G104*AP104</f>
        <v>0</v>
      </c>
      <c r="BJ104" s="9">
        <f>G104*H104</f>
        <v>0</v>
      </c>
      <c r="BK104" s="9"/>
      <c r="BL104" s="9">
        <v>97</v>
      </c>
      <c r="BW104" s="9">
        <v>21</v>
      </c>
      <c r="BX104" s="62" t="s">
        <v>291</v>
      </c>
    </row>
    <row r="105" spans="1:76" x14ac:dyDescent="0.25">
      <c r="A105" s="50" t="s">
        <v>17</v>
      </c>
      <c r="B105" s="65" t="s">
        <v>17</v>
      </c>
      <c r="C105" s="65" t="s">
        <v>41</v>
      </c>
      <c r="D105" s="145" t="s">
        <v>42</v>
      </c>
      <c r="E105" s="146"/>
      <c r="F105" s="51" t="s">
        <v>3</v>
      </c>
      <c r="G105" s="51" t="s">
        <v>3</v>
      </c>
      <c r="H105" s="51" t="s">
        <v>3</v>
      </c>
      <c r="I105" s="33">
        <f>SUM(I106:I114)</f>
        <v>0</v>
      </c>
      <c r="K105" s="46"/>
      <c r="AI105" s="40" t="s">
        <v>17</v>
      </c>
      <c r="AS105" s="33">
        <f>SUM(AJ106:AJ114)</f>
        <v>0</v>
      </c>
      <c r="AT105" s="33">
        <f>SUM(AK106:AK114)</f>
        <v>0</v>
      </c>
      <c r="AU105" s="33">
        <f>SUM(AL106:AL114)</f>
        <v>0</v>
      </c>
    </row>
    <row r="106" spans="1:76" x14ac:dyDescent="0.25">
      <c r="A106" s="60" t="s">
        <v>292</v>
      </c>
      <c r="B106" s="61" t="s">
        <v>17</v>
      </c>
      <c r="C106" s="61" t="s">
        <v>293</v>
      </c>
      <c r="D106" s="72" t="s">
        <v>294</v>
      </c>
      <c r="E106" s="68"/>
      <c r="F106" s="61" t="s">
        <v>280</v>
      </c>
      <c r="G106" s="9">
        <v>49.430999999999997</v>
      </c>
      <c r="H106" s="165">
        <v>0</v>
      </c>
      <c r="I106" s="9">
        <f>G106*H106</f>
        <v>0</v>
      </c>
      <c r="K106" s="46"/>
      <c r="Z106" s="9">
        <f>IF(AQ106="5",BJ106,0)</f>
        <v>0</v>
      </c>
      <c r="AB106" s="9">
        <f>IF(AQ106="1",BH106,0)</f>
        <v>0</v>
      </c>
      <c r="AC106" s="9">
        <f>IF(AQ106="1",BI106,0)</f>
        <v>0</v>
      </c>
      <c r="AD106" s="9">
        <f>IF(AQ106="7",BH106,0)</f>
        <v>0</v>
      </c>
      <c r="AE106" s="9">
        <f>IF(AQ106="7",BI106,0)</f>
        <v>0</v>
      </c>
      <c r="AF106" s="9">
        <f>IF(AQ106="2",BH106,0)</f>
        <v>0</v>
      </c>
      <c r="AG106" s="9">
        <f>IF(AQ106="2",BI106,0)</f>
        <v>0</v>
      </c>
      <c r="AH106" s="9">
        <f>IF(AQ106="0",BJ106,0)</f>
        <v>0</v>
      </c>
      <c r="AI106" s="40" t="s">
        <v>17</v>
      </c>
      <c r="AJ106" s="9">
        <f>IF(AN106=0,I106,0)</f>
        <v>0</v>
      </c>
      <c r="AK106" s="9">
        <f>IF(AN106=12,I106,0)</f>
        <v>0</v>
      </c>
      <c r="AL106" s="9">
        <f>IF(AN106=21,I106,0)</f>
        <v>0</v>
      </c>
      <c r="AN106" s="9">
        <v>21</v>
      </c>
      <c r="AO106" s="9">
        <f>H106*0</f>
        <v>0</v>
      </c>
      <c r="AP106" s="9">
        <f>H106*(1-0)</f>
        <v>0</v>
      </c>
      <c r="AQ106" s="8" t="s">
        <v>146</v>
      </c>
      <c r="AV106" s="9">
        <f>AW106+AX106</f>
        <v>0</v>
      </c>
      <c r="AW106" s="9">
        <f>G106*AO106</f>
        <v>0</v>
      </c>
      <c r="AX106" s="9">
        <f>G106*AP106</f>
        <v>0</v>
      </c>
      <c r="AY106" s="8" t="s">
        <v>295</v>
      </c>
      <c r="AZ106" s="8" t="s">
        <v>269</v>
      </c>
      <c r="BA106" s="40" t="s">
        <v>135</v>
      </c>
      <c r="BC106" s="9">
        <f>AW106+AX106</f>
        <v>0</v>
      </c>
      <c r="BD106" s="9">
        <f>H106/(100-BE106)*100</f>
        <v>0</v>
      </c>
      <c r="BE106" s="9">
        <v>0</v>
      </c>
      <c r="BF106" s="9">
        <f>106</f>
        <v>106</v>
      </c>
      <c r="BH106" s="9">
        <f>G106*AO106</f>
        <v>0</v>
      </c>
      <c r="BI106" s="9">
        <f>G106*AP106</f>
        <v>0</v>
      </c>
      <c r="BJ106" s="9">
        <f>G106*H106</f>
        <v>0</v>
      </c>
      <c r="BK106" s="9"/>
      <c r="BL106" s="9"/>
      <c r="BW106" s="9">
        <v>21</v>
      </c>
      <c r="BX106" s="62" t="s">
        <v>294</v>
      </c>
    </row>
    <row r="107" spans="1:76" x14ac:dyDescent="0.25">
      <c r="A107" s="52"/>
      <c r="D107" s="67" t="s">
        <v>296</v>
      </c>
      <c r="E107" s="67" t="s">
        <v>17</v>
      </c>
      <c r="G107" s="53">
        <v>0</v>
      </c>
      <c r="K107" s="46"/>
    </row>
    <row r="108" spans="1:76" x14ac:dyDescent="0.25">
      <c r="A108" s="52"/>
      <c r="D108" s="67" t="s">
        <v>297</v>
      </c>
      <c r="E108" s="67" t="s">
        <v>17</v>
      </c>
      <c r="G108" s="53">
        <v>28.96</v>
      </c>
      <c r="K108" s="46"/>
    </row>
    <row r="109" spans="1:76" x14ac:dyDescent="0.25">
      <c r="A109" s="52"/>
      <c r="D109" s="67" t="s">
        <v>298</v>
      </c>
      <c r="E109" s="67" t="s">
        <v>17</v>
      </c>
      <c r="G109" s="53">
        <v>0</v>
      </c>
      <c r="K109" s="46"/>
    </row>
    <row r="110" spans="1:76" x14ac:dyDescent="0.25">
      <c r="A110" s="52"/>
      <c r="D110" s="67" t="s">
        <v>299</v>
      </c>
      <c r="E110" s="67" t="s">
        <v>17</v>
      </c>
      <c r="G110" s="53">
        <v>20.471</v>
      </c>
      <c r="K110" s="46"/>
    </row>
    <row r="111" spans="1:76" x14ac:dyDescent="0.25">
      <c r="A111" s="60" t="s">
        <v>300</v>
      </c>
      <c r="B111" s="61" t="s">
        <v>17</v>
      </c>
      <c r="C111" s="61" t="s">
        <v>301</v>
      </c>
      <c r="D111" s="72" t="s">
        <v>302</v>
      </c>
      <c r="E111" s="68"/>
      <c r="F111" s="61" t="s">
        <v>280</v>
      </c>
      <c r="G111" s="9">
        <v>98.861999999999995</v>
      </c>
      <c r="H111" s="165">
        <v>0</v>
      </c>
      <c r="I111" s="9">
        <f>G111*H111</f>
        <v>0</v>
      </c>
      <c r="K111" s="46"/>
      <c r="Z111" s="9">
        <f>IF(AQ111="5",BJ111,0)</f>
        <v>0</v>
      </c>
      <c r="AB111" s="9">
        <f>IF(AQ111="1",BH111,0)</f>
        <v>0</v>
      </c>
      <c r="AC111" s="9">
        <f>IF(AQ111="1",BI111,0)</f>
        <v>0</v>
      </c>
      <c r="AD111" s="9">
        <f>IF(AQ111="7",BH111,0)</f>
        <v>0</v>
      </c>
      <c r="AE111" s="9">
        <f>IF(AQ111="7",BI111,0)</f>
        <v>0</v>
      </c>
      <c r="AF111" s="9">
        <f>IF(AQ111="2",BH111,0)</f>
        <v>0</v>
      </c>
      <c r="AG111" s="9">
        <f>IF(AQ111="2",BI111,0)</f>
        <v>0</v>
      </c>
      <c r="AH111" s="9">
        <f>IF(AQ111="0",BJ111,0)</f>
        <v>0</v>
      </c>
      <c r="AI111" s="40" t="s">
        <v>17</v>
      </c>
      <c r="AJ111" s="9">
        <f>IF(AN111=0,I111,0)</f>
        <v>0</v>
      </c>
      <c r="AK111" s="9">
        <f>IF(AN111=12,I111,0)</f>
        <v>0</v>
      </c>
      <c r="AL111" s="9">
        <f>IF(AN111=21,I111,0)</f>
        <v>0</v>
      </c>
      <c r="AN111" s="9">
        <v>21</v>
      </c>
      <c r="AO111" s="9">
        <f>H111*0</f>
        <v>0</v>
      </c>
      <c r="AP111" s="9">
        <f>H111*(1-0)</f>
        <v>0</v>
      </c>
      <c r="AQ111" s="8" t="s">
        <v>146</v>
      </c>
      <c r="AV111" s="9">
        <f>AW111+AX111</f>
        <v>0</v>
      </c>
      <c r="AW111" s="9">
        <f>G111*AO111</f>
        <v>0</v>
      </c>
      <c r="AX111" s="9">
        <f>G111*AP111</f>
        <v>0</v>
      </c>
      <c r="AY111" s="8" t="s">
        <v>295</v>
      </c>
      <c r="AZ111" s="8" t="s">
        <v>269</v>
      </c>
      <c r="BA111" s="40" t="s">
        <v>135</v>
      </c>
      <c r="BC111" s="9">
        <f>AW111+AX111</f>
        <v>0</v>
      </c>
      <c r="BD111" s="9">
        <f>H111/(100-BE111)*100</f>
        <v>0</v>
      </c>
      <c r="BE111" s="9">
        <v>0</v>
      </c>
      <c r="BF111" s="9">
        <f>111</f>
        <v>111</v>
      </c>
      <c r="BH111" s="9">
        <f>G111*AO111</f>
        <v>0</v>
      </c>
      <c r="BI111" s="9">
        <f>G111*AP111</f>
        <v>0</v>
      </c>
      <c r="BJ111" s="9">
        <f>G111*H111</f>
        <v>0</v>
      </c>
      <c r="BK111" s="9"/>
      <c r="BL111" s="9"/>
      <c r="BW111" s="9">
        <v>21</v>
      </c>
      <c r="BX111" s="62" t="s">
        <v>302</v>
      </c>
    </row>
    <row r="112" spans="1:76" x14ac:dyDescent="0.25">
      <c r="A112" s="52"/>
      <c r="D112" s="67" t="s">
        <v>303</v>
      </c>
      <c r="E112" s="67" t="s">
        <v>17</v>
      </c>
      <c r="G112" s="53">
        <v>98.861999999999995</v>
      </c>
      <c r="K112" s="46"/>
    </row>
    <row r="113" spans="1:76" x14ac:dyDescent="0.25">
      <c r="A113" s="60" t="s">
        <v>304</v>
      </c>
      <c r="B113" s="61" t="s">
        <v>17</v>
      </c>
      <c r="C113" s="61" t="s">
        <v>305</v>
      </c>
      <c r="D113" s="72" t="s">
        <v>306</v>
      </c>
      <c r="E113" s="68"/>
      <c r="F113" s="61" t="s">
        <v>280</v>
      </c>
      <c r="G113" s="9">
        <v>28.96</v>
      </c>
      <c r="H113" s="165">
        <v>0</v>
      </c>
      <c r="I113" s="9">
        <f>G113*H113</f>
        <v>0</v>
      </c>
      <c r="K113" s="46"/>
      <c r="Z113" s="9">
        <f>IF(AQ113="5",BJ113,0)</f>
        <v>0</v>
      </c>
      <c r="AB113" s="9">
        <f>IF(AQ113="1",BH113,0)</f>
        <v>0</v>
      </c>
      <c r="AC113" s="9">
        <f>IF(AQ113="1",BI113,0)</f>
        <v>0</v>
      </c>
      <c r="AD113" s="9">
        <f>IF(AQ113="7",BH113,0)</f>
        <v>0</v>
      </c>
      <c r="AE113" s="9">
        <f>IF(AQ113="7",BI113,0)</f>
        <v>0</v>
      </c>
      <c r="AF113" s="9">
        <f>IF(AQ113="2",BH113,0)</f>
        <v>0</v>
      </c>
      <c r="AG113" s="9">
        <f>IF(AQ113="2",BI113,0)</f>
        <v>0</v>
      </c>
      <c r="AH113" s="9">
        <f>IF(AQ113="0",BJ113,0)</f>
        <v>0</v>
      </c>
      <c r="AI113" s="40" t="s">
        <v>17</v>
      </c>
      <c r="AJ113" s="9">
        <f>IF(AN113=0,I113,0)</f>
        <v>0</v>
      </c>
      <c r="AK113" s="9">
        <f>IF(AN113=12,I113,0)</f>
        <v>0</v>
      </c>
      <c r="AL113" s="9">
        <f>IF(AN113=21,I113,0)</f>
        <v>0</v>
      </c>
      <c r="AN113" s="9">
        <v>21</v>
      </c>
      <c r="AO113" s="9">
        <f>H113*0</f>
        <v>0</v>
      </c>
      <c r="AP113" s="9">
        <f>H113*(1-0)</f>
        <v>0</v>
      </c>
      <c r="AQ113" s="8" t="s">
        <v>146</v>
      </c>
      <c r="AV113" s="9">
        <f>AW113+AX113</f>
        <v>0</v>
      </c>
      <c r="AW113" s="9">
        <f>G113*AO113</f>
        <v>0</v>
      </c>
      <c r="AX113" s="9">
        <f>G113*AP113</f>
        <v>0</v>
      </c>
      <c r="AY113" s="8" t="s">
        <v>295</v>
      </c>
      <c r="AZ113" s="8" t="s">
        <v>269</v>
      </c>
      <c r="BA113" s="40" t="s">
        <v>135</v>
      </c>
      <c r="BC113" s="9">
        <f>AW113+AX113</f>
        <v>0</v>
      </c>
      <c r="BD113" s="9">
        <f>H113/(100-BE113)*100</f>
        <v>0</v>
      </c>
      <c r="BE113" s="9">
        <v>0</v>
      </c>
      <c r="BF113" s="9">
        <f>113</f>
        <v>113</v>
      </c>
      <c r="BH113" s="9">
        <f>G113*AO113</f>
        <v>0</v>
      </c>
      <c r="BI113" s="9">
        <f>G113*AP113</f>
        <v>0</v>
      </c>
      <c r="BJ113" s="9">
        <f>G113*H113</f>
        <v>0</v>
      </c>
      <c r="BK113" s="9"/>
      <c r="BL113" s="9"/>
      <c r="BW113" s="9">
        <v>21</v>
      </c>
      <c r="BX113" s="62" t="s">
        <v>306</v>
      </c>
    </row>
    <row r="114" spans="1:76" x14ac:dyDescent="0.25">
      <c r="A114" s="60" t="s">
        <v>307</v>
      </c>
      <c r="B114" s="61" t="s">
        <v>17</v>
      </c>
      <c r="C114" s="61" t="s">
        <v>308</v>
      </c>
      <c r="D114" s="72" t="s">
        <v>309</v>
      </c>
      <c r="E114" s="68"/>
      <c r="F114" s="61" t="s">
        <v>280</v>
      </c>
      <c r="G114" s="9">
        <v>20.471</v>
      </c>
      <c r="H114" s="165">
        <v>0</v>
      </c>
      <c r="I114" s="9">
        <f>G114*H114</f>
        <v>0</v>
      </c>
      <c r="K114" s="46"/>
      <c r="Z114" s="9">
        <f>IF(AQ114="5",BJ114,0)</f>
        <v>0</v>
      </c>
      <c r="AB114" s="9">
        <f>IF(AQ114="1",BH114,0)</f>
        <v>0</v>
      </c>
      <c r="AC114" s="9">
        <f>IF(AQ114="1",BI114,0)</f>
        <v>0</v>
      </c>
      <c r="AD114" s="9">
        <f>IF(AQ114="7",BH114,0)</f>
        <v>0</v>
      </c>
      <c r="AE114" s="9">
        <f>IF(AQ114="7",BI114,0)</f>
        <v>0</v>
      </c>
      <c r="AF114" s="9">
        <f>IF(AQ114="2",BH114,0)</f>
        <v>0</v>
      </c>
      <c r="AG114" s="9">
        <f>IF(AQ114="2",BI114,0)</f>
        <v>0</v>
      </c>
      <c r="AH114" s="9">
        <f>IF(AQ114="0",BJ114,0)</f>
        <v>0</v>
      </c>
      <c r="AI114" s="40" t="s">
        <v>17</v>
      </c>
      <c r="AJ114" s="9">
        <f>IF(AN114=0,I114,0)</f>
        <v>0</v>
      </c>
      <c r="AK114" s="9">
        <f>IF(AN114=12,I114,0)</f>
        <v>0</v>
      </c>
      <c r="AL114" s="9">
        <f>IF(AN114=21,I114,0)</f>
        <v>0</v>
      </c>
      <c r="AN114" s="9">
        <v>21</v>
      </c>
      <c r="AO114" s="9">
        <f>H114*0</f>
        <v>0</v>
      </c>
      <c r="AP114" s="9">
        <f>H114*(1-0)</f>
        <v>0</v>
      </c>
      <c r="AQ114" s="8" t="s">
        <v>146</v>
      </c>
      <c r="AV114" s="9">
        <f>AW114+AX114</f>
        <v>0</v>
      </c>
      <c r="AW114" s="9">
        <f>G114*AO114</f>
        <v>0</v>
      </c>
      <c r="AX114" s="9">
        <f>G114*AP114</f>
        <v>0</v>
      </c>
      <c r="AY114" s="8" t="s">
        <v>295</v>
      </c>
      <c r="AZ114" s="8" t="s">
        <v>269</v>
      </c>
      <c r="BA114" s="40" t="s">
        <v>135</v>
      </c>
      <c r="BC114" s="9">
        <f>AW114+AX114</f>
        <v>0</v>
      </c>
      <c r="BD114" s="9">
        <f>H114/(100-BE114)*100</f>
        <v>0</v>
      </c>
      <c r="BE114" s="9">
        <v>0</v>
      </c>
      <c r="BF114" s="9">
        <f>114</f>
        <v>114</v>
      </c>
      <c r="BH114" s="9">
        <f>G114*AO114</f>
        <v>0</v>
      </c>
      <c r="BI114" s="9">
        <f>G114*AP114</f>
        <v>0</v>
      </c>
      <c r="BJ114" s="9">
        <f>G114*H114</f>
        <v>0</v>
      </c>
      <c r="BK114" s="9"/>
      <c r="BL114" s="9"/>
      <c r="BW114" s="9">
        <v>21</v>
      </c>
      <c r="BX114" s="62" t="s">
        <v>309</v>
      </c>
    </row>
    <row r="115" spans="1:76" x14ac:dyDescent="0.25">
      <c r="A115" s="55"/>
      <c r="B115" s="56"/>
      <c r="C115" s="57" t="s">
        <v>181</v>
      </c>
      <c r="D115" s="142" t="s">
        <v>310</v>
      </c>
      <c r="E115" s="143"/>
      <c r="F115" s="143"/>
      <c r="G115" s="143"/>
      <c r="H115" s="143"/>
      <c r="I115" s="143"/>
      <c r="J115" s="143"/>
      <c r="K115" s="144"/>
      <c r="BX115" s="66" t="s">
        <v>310</v>
      </c>
    </row>
    <row r="116" spans="1:76" x14ac:dyDescent="0.25">
      <c r="I116" s="58">
        <f>I12+I19+I40+I48+I52+I62+I64+I69+I72+I92+I98+I105</f>
        <v>0</v>
      </c>
    </row>
    <row r="117" spans="1:76" x14ac:dyDescent="0.25">
      <c r="A117" s="59" t="s">
        <v>90</v>
      </c>
    </row>
    <row r="118" spans="1:76" ht="12.75" customHeight="1" x14ac:dyDescent="0.25">
      <c r="A118" s="72" t="s">
        <v>17</v>
      </c>
      <c r="B118" s="68"/>
      <c r="C118" s="68"/>
      <c r="D118" s="68"/>
      <c r="E118" s="68"/>
      <c r="F118" s="68"/>
      <c r="G118" s="68"/>
      <c r="H118" s="68"/>
      <c r="I118" s="68"/>
      <c r="J118" s="68"/>
      <c r="K118" s="68"/>
    </row>
  </sheetData>
  <sheetProtection password="8515" sheet="1" objects="1" scenarios="1"/>
  <mergeCells count="83">
    <mergeCell ref="A1:K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  <mergeCell ref="J2:K3"/>
    <mergeCell ref="J4:K5"/>
    <mergeCell ref="J6:K7"/>
    <mergeCell ref="J8:K9"/>
    <mergeCell ref="D10:E10"/>
    <mergeCell ref="D8:E9"/>
    <mergeCell ref="H2:H3"/>
    <mergeCell ref="H4:H5"/>
    <mergeCell ref="H6:H7"/>
    <mergeCell ref="H8:H9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7:E27"/>
    <mergeCell ref="D30:E30"/>
    <mergeCell ref="D33:E33"/>
    <mergeCell ref="D38:K38"/>
    <mergeCell ref="D39:E39"/>
    <mergeCell ref="D40:E40"/>
    <mergeCell ref="D41:E41"/>
    <mergeCell ref="D46:E46"/>
    <mergeCell ref="D48:E48"/>
    <mergeCell ref="D49:E49"/>
    <mergeCell ref="D50:E50"/>
    <mergeCell ref="D52:E52"/>
    <mergeCell ref="D53:E53"/>
    <mergeCell ref="D58:E58"/>
    <mergeCell ref="D62:E62"/>
    <mergeCell ref="D63:E63"/>
    <mergeCell ref="D64:E64"/>
    <mergeCell ref="D65:E65"/>
    <mergeCell ref="D66:E66"/>
    <mergeCell ref="D68:E68"/>
    <mergeCell ref="D69:E69"/>
    <mergeCell ref="D70:E70"/>
    <mergeCell ref="D71:K71"/>
    <mergeCell ref="D72:E72"/>
    <mergeCell ref="D73:E73"/>
    <mergeCell ref="D80:E80"/>
    <mergeCell ref="D81:E81"/>
    <mergeCell ref="D87:E87"/>
    <mergeCell ref="D91:K91"/>
    <mergeCell ref="D92:E92"/>
    <mergeCell ref="D93:E93"/>
    <mergeCell ref="D94:E94"/>
    <mergeCell ref="D95:K95"/>
    <mergeCell ref="D96:E96"/>
    <mergeCell ref="D97:E97"/>
    <mergeCell ref="D98:E98"/>
    <mergeCell ref="D99:E99"/>
    <mergeCell ref="D102:E102"/>
    <mergeCell ref="D104:E104"/>
    <mergeCell ref="D115:K115"/>
    <mergeCell ref="A118:K118"/>
    <mergeCell ref="D105:E105"/>
    <mergeCell ref="D106:E106"/>
    <mergeCell ref="D111:E111"/>
    <mergeCell ref="D113:E113"/>
    <mergeCell ref="D114:E114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Stavební rozpočet - součet</vt:lpstr>
      <vt:lpstr>Krycí list rozpočtu</vt:lpstr>
      <vt:lpstr>VORN</vt:lpstr>
      <vt:lpstr>Stavební rozpočet</vt:lpstr>
      <vt:lpstr>vorn_sum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Karnik</cp:lastModifiedBy>
  <dcterms:created xsi:type="dcterms:W3CDTF">2021-06-10T20:06:38Z</dcterms:created>
  <dcterms:modified xsi:type="dcterms:W3CDTF">2025-06-25T05:33:19Z</dcterms:modified>
</cp:coreProperties>
</file>